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1355" windowHeight="6150" activeTab="0"/>
  </bookViews>
  <sheets>
    <sheet name="I. Statements" sheetId="1" r:id="rId1"/>
    <sheet name="B. Sheets" sheetId="2" r:id="rId2"/>
    <sheet name="S.C. Equity" sheetId="3" r:id="rId3"/>
    <sheet name="Cash Flow" sheetId="4" r:id="rId4"/>
  </sheets>
  <externalReferences>
    <externalReference r:id="rId7"/>
  </externalReferences>
  <definedNames>
    <definedName name="_xlnm.Print_Area" localSheetId="1">'B. Sheets'!$A$1:$I$68</definedName>
    <definedName name="_xlnm.Print_Area" localSheetId="3">'Cash Flow'!$A$1:$I$80</definedName>
    <definedName name="_xlnm.Print_Area" localSheetId="0">'I. Statements'!$A$1:$K$71</definedName>
    <definedName name="_xlnm.Print_Area" localSheetId="2">'S.C. Equity'!$A$1:$O$66</definedName>
  </definedNames>
  <calcPr fullCalcOnLoad="1"/>
</workbook>
</file>

<file path=xl/sharedStrings.xml><?xml version="1.0" encoding="utf-8"?>
<sst xmlns="http://schemas.openxmlformats.org/spreadsheetml/2006/main" count="259" uniqueCount="152">
  <si>
    <t>KUMPULAN HARTANAH SELANGOR BERHAD</t>
  </si>
  <si>
    <t>Company No: 559747-W</t>
  </si>
  <si>
    <t>Unaudited Condensed Consolidated Income Statements</t>
  </si>
  <si>
    <t>INDIVIDUAL QUARTER</t>
  </si>
  <si>
    <t>CURRENT</t>
  </si>
  <si>
    <t xml:space="preserve">YEAR </t>
  </si>
  <si>
    <t>QUARTER</t>
  </si>
  <si>
    <t>RM'000</t>
  </si>
  <si>
    <t>CUMULATIVE QUARTER</t>
  </si>
  <si>
    <t>PARTICULARS</t>
  </si>
  <si>
    <t>Revenue</t>
  </si>
  <si>
    <t>Cost of sales</t>
  </si>
  <si>
    <t>Gross profit</t>
  </si>
  <si>
    <t xml:space="preserve"> </t>
  </si>
  <si>
    <t>Other income</t>
  </si>
  <si>
    <t>Administrative expenses</t>
  </si>
  <si>
    <t>Other operating expenses</t>
  </si>
  <si>
    <t>Profit before tax</t>
  </si>
  <si>
    <t>Income tax expense</t>
  </si>
  <si>
    <t>Attributable to:</t>
  </si>
  <si>
    <t>Minority interest</t>
  </si>
  <si>
    <t>RM</t>
  </si>
  <si>
    <t>Property,plant and equipment</t>
  </si>
  <si>
    <t>Goodwill</t>
  </si>
  <si>
    <t>Amount due from ultimate holding company</t>
  </si>
  <si>
    <t>Long term receivables</t>
  </si>
  <si>
    <t>Inventories</t>
  </si>
  <si>
    <t>Receivables</t>
  </si>
  <si>
    <t>Tax recoverable</t>
  </si>
  <si>
    <t>Share capital</t>
  </si>
  <si>
    <t>Share premium</t>
  </si>
  <si>
    <t>Total equity</t>
  </si>
  <si>
    <t>Non-current liabilities</t>
  </si>
  <si>
    <t>Long term payables</t>
  </si>
  <si>
    <t>Deferred taxation</t>
  </si>
  <si>
    <t>Payables</t>
  </si>
  <si>
    <t>Taxation</t>
  </si>
  <si>
    <t>As at</t>
  </si>
  <si>
    <t>PRECEDING YEAR</t>
  </si>
  <si>
    <t>CORRESPONDING</t>
  </si>
  <si>
    <t>Unaudited Condensed Consolidated Balance Sheet</t>
  </si>
  <si>
    <t>TO DATE</t>
  </si>
  <si>
    <t>PERIOD</t>
  </si>
  <si>
    <t>Unaudited Condensed Consolidated Statement of Changes In Equity</t>
  </si>
  <si>
    <t xml:space="preserve">Share </t>
  </si>
  <si>
    <t>Capital</t>
  </si>
  <si>
    <t>Share</t>
  </si>
  <si>
    <t>Premium</t>
  </si>
  <si>
    <t>Accumulated</t>
  </si>
  <si>
    <t>Total</t>
  </si>
  <si>
    <t>Minority</t>
  </si>
  <si>
    <t>Interest</t>
  </si>
  <si>
    <t>Equity</t>
  </si>
  <si>
    <t>At 1 January 2006</t>
  </si>
  <si>
    <t>Unaudited Condensed Consolidated Cash Flow Statement</t>
  </si>
  <si>
    <t>Cash and cash equivalents at the end of the financial period comprise the following:</t>
  </si>
  <si>
    <t>Cash and bank balances</t>
  </si>
  <si>
    <t>Bank overdrafts</t>
  </si>
  <si>
    <t>NON CURRENT ASSETS</t>
  </si>
  <si>
    <t>CURRENT ASSETS</t>
  </si>
  <si>
    <t>CURRENT LIABILITIES</t>
  </si>
  <si>
    <t>Accumulated losses</t>
  </si>
  <si>
    <t>Deferred membership income</t>
  </si>
  <si>
    <t>CASH FLOWS FROM OPERATING ACTIVITIES</t>
  </si>
  <si>
    <t>Adjustments for:</t>
  </si>
  <si>
    <t xml:space="preserve">   Depreciation of property, plant and equipment</t>
  </si>
  <si>
    <t xml:space="preserve">   Share of result in associated companies</t>
  </si>
  <si>
    <t>Changes in Working Capital</t>
  </si>
  <si>
    <t xml:space="preserve">   Inventories</t>
  </si>
  <si>
    <t xml:space="preserve">   Receivables</t>
  </si>
  <si>
    <t xml:space="preserve">   Property developments projects</t>
  </si>
  <si>
    <t xml:space="preserve">   Payables</t>
  </si>
  <si>
    <t>Interest paid</t>
  </si>
  <si>
    <t>Tax paid</t>
  </si>
  <si>
    <t>CASH FLOWS FROM INVESTING ACTIVITIES</t>
  </si>
  <si>
    <t xml:space="preserve">   Purchase of property, plant &amp; equipment</t>
  </si>
  <si>
    <t>CASH FLOWS FROM FINANCING ACTIVITIES</t>
  </si>
  <si>
    <t xml:space="preserve">   Drawdown of borrowings</t>
  </si>
  <si>
    <t>CASH AND CASH EQUIVALENTS AT BEGINNING OF THE PERIOD</t>
  </si>
  <si>
    <t>CASH AND CASH EQUIVALENTS AT END OF THE PERIOD</t>
  </si>
  <si>
    <t xml:space="preserve">(The Unaudited Condensed Consolidated Income Statement should be read in conjunction with the Annual Financial Statements for </t>
  </si>
  <si>
    <t>Profit for the period</t>
  </si>
  <si>
    <t>Operating profit</t>
  </si>
  <si>
    <t xml:space="preserve">Share of loss in associates </t>
  </si>
  <si>
    <t>Borrowings (interest bearing)</t>
  </si>
  <si>
    <t>Long term borrowings (interest bearing)</t>
  </si>
  <si>
    <t>(The Unaudited Condensed Consolidated Balance Sheets should be read in conjunction with the Annual Financial Statements</t>
  </si>
  <si>
    <t>(The Unaudited Condensed Consolidated Statement of Changes In Equity should be read in conjunction with the Annual Financial Statements for the year ended</t>
  </si>
  <si>
    <t>(The Unaudited Condensed Consolidated Cash Flow Statement should be read in conjunction with the Annual Financial</t>
  </si>
  <si>
    <t>financial statements)</t>
  </si>
  <si>
    <t>Operating profit before working capital changes</t>
  </si>
  <si>
    <t>Net cash flow used in investing activities</t>
  </si>
  <si>
    <t xml:space="preserve">   Repayment of borrowings</t>
  </si>
  <si>
    <t>Property development costs</t>
  </si>
  <si>
    <t xml:space="preserve">Land held for property development </t>
  </si>
  <si>
    <t>Associated companies</t>
  </si>
  <si>
    <t>Deposits, cash and bank balances</t>
  </si>
  <si>
    <t>Other investments</t>
  </si>
  <si>
    <t xml:space="preserve">   Disposal of property, plant and equipment</t>
  </si>
  <si>
    <t>Dividend of subsidiary</t>
  </si>
  <si>
    <t>(Losses) / Profit</t>
  </si>
  <si>
    <t>31.12.06</t>
  </si>
  <si>
    <t>Assets of disposal group / Non-current asset classified as held</t>
  </si>
  <si>
    <t xml:space="preserve">   for sale</t>
  </si>
  <si>
    <t>Liabilities directly associated with assets classified as held</t>
  </si>
  <si>
    <t>Investment properties</t>
  </si>
  <si>
    <t>Prepaid land lease payments</t>
  </si>
  <si>
    <t>Deferred tax assets</t>
  </si>
  <si>
    <t>TOTAL ASSETS</t>
  </si>
  <si>
    <t>EQUITY AND LIABILITIES</t>
  </si>
  <si>
    <t>TOTAL EQUITY AND LIABILITIES</t>
  </si>
  <si>
    <t>Total liabilities</t>
  </si>
  <si>
    <t>At 1 January 2007</t>
  </si>
  <si>
    <t>[ -------- Attributable to Equity Holders of the Parent ----------------- ]</t>
  </si>
  <si>
    <t>[ ----- Non-distributable ----------- ]</t>
  </si>
  <si>
    <t>31 December 2006 and the accompanying explanatory notes attached to the interim financial statements)</t>
  </si>
  <si>
    <t>for the year ended 31 December 2006 and the accompanying explanatory notes attached to the interim financial statements)</t>
  </si>
  <si>
    <t>Statements for the year ended 31 December 2006 and the accompanying explanatory notes attached to the interim</t>
  </si>
  <si>
    <t xml:space="preserve">   Amortisation of prepaid land lease payments</t>
  </si>
  <si>
    <t xml:space="preserve">   Depreciation of investment properties</t>
  </si>
  <si>
    <t>net assets per share</t>
  </si>
  <si>
    <t xml:space="preserve">   Finance costs</t>
  </si>
  <si>
    <t>Net cash flow (used in) / generated from operating activities</t>
  </si>
  <si>
    <t>Net cash flow (used in) / generated from financing activities</t>
  </si>
  <si>
    <t>NET (DECREASE) / INCREASE IN CASH AND CASH EQUIVALENTS</t>
  </si>
  <si>
    <t>Net cash generated  from operations</t>
  </si>
  <si>
    <t xml:space="preserve">   Gain on disposal of investments</t>
  </si>
  <si>
    <t xml:space="preserve">Deposits </t>
  </si>
  <si>
    <t>Profit after tax</t>
  </si>
  <si>
    <t xml:space="preserve">Additional acquisition of equity in subsidiary </t>
  </si>
  <si>
    <t>Net Assets Per Ordinary Shares (RM)</t>
  </si>
  <si>
    <t xml:space="preserve">   Gain on deconsolidation / disposal of subsidiary</t>
  </si>
  <si>
    <t>net assets per share attributable to ordinary equity holders of the Company</t>
  </si>
  <si>
    <t>For the period ended 30 September 2007</t>
  </si>
  <si>
    <t>Selling and distribution expenses</t>
  </si>
  <si>
    <t xml:space="preserve">Gain on disposal of subsidiary </t>
  </si>
  <si>
    <t>Gain on deconsolidation</t>
  </si>
  <si>
    <t>Equity holders of the Parent</t>
  </si>
  <si>
    <t>Earning per share - Basic (sen)</t>
  </si>
  <si>
    <t>Earning per share - Diluted (sen)</t>
  </si>
  <si>
    <t>the year ended 31 December 2005 and the accompanying explanatory notes attached to the interim financial statements)</t>
  </si>
  <si>
    <t>As at 30 September 2007</t>
  </si>
  <si>
    <t>30.09.07</t>
  </si>
  <si>
    <t>At 30 September 2006</t>
  </si>
  <si>
    <t>At 30 September 2007</t>
  </si>
  <si>
    <t>Disposal of a subsidiary company</t>
  </si>
  <si>
    <t>30.09.06</t>
  </si>
  <si>
    <t xml:space="preserve">   Net cash outflow on deconsolidation / disposal of subsidiary (A11)</t>
  </si>
  <si>
    <t>Finance costs</t>
  </si>
  <si>
    <t>Debt Service Reserve Accts ("DSRA") - Note 1</t>
  </si>
  <si>
    <t>shall be maintained with the bank throughout the tenure of the Term Loan Facility.</t>
  </si>
  <si>
    <t>Note 1: The accounts is for the purpose of RM250 million Term Loan Facility with CIMB Bank Berhad. This account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</si>
</sst>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[$-43E]dd\ mmmm\ yyyy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_(* #,##0.00000_);_(* \(#,##0.00000\);_(* &quot;-&quot;??_);_(@_)"/>
    <numFmt numFmtId="192" formatCode="_(* #,##0.000000_);_(* \(#,##0.000000\);_(* &quot;-&quot;??_);_(@_)"/>
  </numFmts>
  <fonts count="28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Bookman Old Style"/>
      <family val="1"/>
    </font>
    <font>
      <i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4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11" fillId="0" borderId="0" xfId="0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1" fillId="0" borderId="0" xfId="15" applyNumberFormat="1" applyFont="1" applyBorder="1" applyAlignment="1">
      <alignment/>
    </xf>
    <xf numFmtId="180" fontId="12" fillId="0" borderId="0" xfId="15" applyNumberFormat="1" applyFont="1" applyBorder="1" applyAlignment="1">
      <alignment/>
    </xf>
    <xf numFmtId="169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15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5" fillId="0" borderId="0" xfId="15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3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180" fontId="4" fillId="0" borderId="0" xfId="15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1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9" fontId="13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80" fontId="6" fillId="0" borderId="4" xfId="0" applyNumberFormat="1" applyFont="1" applyBorder="1" applyAlignment="1">
      <alignment/>
    </xf>
    <xf numFmtId="180" fontId="4" fillId="0" borderId="0" xfId="15" applyNumberFormat="1" applyFont="1" applyBorder="1" applyAlignment="1">
      <alignment horizontal="left"/>
    </xf>
    <xf numFmtId="180" fontId="1" fillId="0" borderId="0" xfId="0" applyNumberFormat="1" applyFont="1" applyAlignment="1">
      <alignment/>
    </xf>
    <xf numFmtId="180" fontId="4" fillId="0" borderId="2" xfId="15" applyNumberFormat="1" applyFont="1" applyBorder="1" applyAlignment="1">
      <alignment/>
    </xf>
    <xf numFmtId="180" fontId="6" fillId="0" borderId="4" xfId="15" applyNumberFormat="1" applyFont="1" applyBorder="1" applyAlignment="1">
      <alignment/>
    </xf>
    <xf numFmtId="180" fontId="4" fillId="0" borderId="5" xfId="15" applyNumberFormat="1" applyFont="1" applyBorder="1" applyAlignment="1">
      <alignment/>
    </xf>
    <xf numFmtId="0" fontId="1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180" fontId="4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2" fontId="14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180" fontId="14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1" fontId="17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41" fontId="15" fillId="0" borderId="2" xfId="0" applyNumberFormat="1" applyFont="1" applyBorder="1" applyAlignment="1">
      <alignment/>
    </xf>
    <xf numFmtId="180" fontId="10" fillId="0" borderId="0" xfId="15" applyNumberFormat="1" applyFont="1" applyBorder="1" applyAlignment="1">
      <alignment/>
    </xf>
    <xf numFmtId="180" fontId="10" fillId="0" borderId="5" xfId="15" applyNumberFormat="1" applyFont="1" applyBorder="1" applyAlignment="1">
      <alignment/>
    </xf>
    <xf numFmtId="180" fontId="10" fillId="0" borderId="6" xfId="15" applyNumberFormat="1" applyFont="1" applyFill="1" applyBorder="1" applyAlignment="1">
      <alignment/>
    </xf>
    <xf numFmtId="41" fontId="17" fillId="0" borderId="0" xfId="0" applyNumberFormat="1" applyFont="1" applyBorder="1" applyAlignment="1">
      <alignment/>
    </xf>
    <xf numFmtId="180" fontId="18" fillId="0" borderId="5" xfId="0" applyNumberFormat="1" applyFont="1" applyBorder="1" applyAlignment="1">
      <alignment/>
    </xf>
    <xf numFmtId="180" fontId="4" fillId="0" borderId="2" xfId="0" applyNumberFormat="1" applyFont="1" applyFill="1" applyBorder="1" applyAlignment="1">
      <alignment/>
    </xf>
    <xf numFmtId="180" fontId="19" fillId="0" borderId="0" xfId="0" applyNumberFormat="1" applyFont="1" applyFill="1" applyBorder="1" applyAlignment="1">
      <alignment/>
    </xf>
    <xf numFmtId="180" fontId="18" fillId="0" borderId="5" xfId="15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80" fontId="18" fillId="0" borderId="6" xfId="15" applyNumberFormat="1" applyFont="1" applyBorder="1" applyAlignment="1">
      <alignment/>
    </xf>
    <xf numFmtId="0" fontId="4" fillId="0" borderId="0" xfId="0" applyFont="1" applyFill="1" applyAlignment="1">
      <alignment/>
    </xf>
    <xf numFmtId="41" fontId="16" fillId="0" borderId="0" xfId="0" applyNumberFormat="1" applyFont="1" applyAlignment="1">
      <alignment/>
    </xf>
    <xf numFmtId="180" fontId="16" fillId="0" borderId="0" xfId="15" applyNumberFormat="1" applyFont="1" applyAlignment="1">
      <alignment/>
    </xf>
    <xf numFmtId="41" fontId="15" fillId="0" borderId="0" xfId="0" applyNumberFormat="1" applyFont="1" applyBorder="1" applyAlignment="1">
      <alignment/>
    </xf>
    <xf numFmtId="41" fontId="18" fillId="0" borderId="4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 horizontal="right"/>
    </xf>
    <xf numFmtId="1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80" fontId="15" fillId="0" borderId="0" xfId="15" applyNumberFormat="1" applyFont="1" applyBorder="1" applyAlignment="1">
      <alignment/>
    </xf>
    <xf numFmtId="180" fontId="15" fillId="0" borderId="0" xfId="15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2" fontId="24" fillId="0" borderId="0" xfId="15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2" fontId="23" fillId="0" borderId="0" xfId="0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15" fillId="0" borderId="0" xfId="15" applyNumberFormat="1" applyFont="1" applyAlignment="1">
      <alignment/>
    </xf>
    <xf numFmtId="180" fontId="10" fillId="0" borderId="3" xfId="0" applyNumberFormat="1" applyFont="1" applyFill="1" applyBorder="1" applyAlignment="1">
      <alignment/>
    </xf>
    <xf numFmtId="180" fontId="0" fillId="0" borderId="0" xfId="15" applyNumberFormat="1" applyBorder="1" applyAlignment="1">
      <alignment/>
    </xf>
    <xf numFmtId="0" fontId="18" fillId="0" borderId="0" xfId="0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3" xfId="0" applyNumberFormat="1" applyFont="1" applyBorder="1" applyAlignment="1">
      <alignment/>
    </xf>
    <xf numFmtId="180" fontId="10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180" fontId="15" fillId="2" borderId="0" xfId="15" applyNumberFormat="1" applyFont="1" applyFill="1" applyBorder="1" applyAlignment="1">
      <alignment/>
    </xf>
    <xf numFmtId="180" fontId="4" fillId="2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0" fontId="9" fillId="0" borderId="0" xfId="0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15" applyNumberFormat="1" applyFont="1" applyFill="1" applyBorder="1" applyAlignment="1">
      <alignment/>
    </xf>
    <xf numFmtId="180" fontId="14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17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182" fontId="13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41" fontId="17" fillId="0" borderId="0" xfId="0" applyNumberFormat="1" applyFont="1" applyFill="1" applyBorder="1" applyAlignment="1">
      <alignment/>
    </xf>
    <xf numFmtId="180" fontId="17" fillId="0" borderId="0" xfId="15" applyNumberFormat="1" applyFont="1" applyFill="1" applyAlignment="1">
      <alignment/>
    </xf>
    <xf numFmtId="180" fontId="15" fillId="0" borderId="0" xfId="15" applyNumberFormat="1" applyFont="1" applyFill="1" applyBorder="1" applyAlignment="1">
      <alignment/>
    </xf>
    <xf numFmtId="182" fontId="23" fillId="0" borderId="0" xfId="15" applyNumberFormat="1" applyFont="1" applyBorder="1" applyAlignment="1">
      <alignment/>
    </xf>
    <xf numFmtId="182" fontId="13" fillId="0" borderId="0" xfId="15" applyNumberFormat="1" applyFont="1" applyBorder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4" fontId="17" fillId="0" borderId="0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80" fontId="15" fillId="0" borderId="2" xfId="15" applyNumberFormat="1" applyFont="1" applyFill="1" applyBorder="1" applyAlignment="1">
      <alignment/>
    </xf>
    <xf numFmtId="180" fontId="15" fillId="0" borderId="5" xfId="15" applyNumberFormat="1" applyFont="1" applyFill="1" applyBorder="1" applyAlignment="1">
      <alignment/>
    </xf>
    <xf numFmtId="180" fontId="17" fillId="0" borderId="4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80" fontId="17" fillId="0" borderId="4" xfId="15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180" fontId="26" fillId="0" borderId="5" xfId="15" applyNumberFormat="1" applyFont="1" applyFill="1" applyBorder="1" applyAlignment="1">
      <alignment/>
    </xf>
    <xf numFmtId="180" fontId="23" fillId="0" borderId="0" xfId="15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3" fontId="2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80" fontId="4" fillId="0" borderId="0" xfId="15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MPULAN%20HARTANAH%20S'GOR%20BHD\ACCOUNT\MGMT%20ACCT\2004\KHSB-September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2BS"/>
      <sheetName val="3SE"/>
      <sheetName val="4IS"/>
      <sheetName val="5CFS"/>
      <sheetName val="6Note 1-5 "/>
      <sheetName val="7Note 6-9"/>
      <sheetName val="8Note 10"/>
      <sheetName val="9Note 10-12"/>
      <sheetName val="10Note  13-15"/>
      <sheetName val="11Note  16-18"/>
      <sheetName val="12Note 19-21"/>
      <sheetName val="13Note 22-23"/>
      <sheetName val="14Note 24-25"/>
      <sheetName val="15Cred. Aging"/>
      <sheetName val="2BS (2)"/>
    </sheetNames>
    <sheetDataSet>
      <sheetData sheetId="1">
        <row r="14">
          <cell r="D14">
            <v>21881930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0"/>
  <sheetViews>
    <sheetView tabSelected="1" view="pageBreakPreview" zoomScale="75" zoomScaleNormal="90" zoomScaleSheetLayoutView="75" workbookViewId="0" topLeftCell="A1">
      <selection activeCell="L2" sqref="L2"/>
    </sheetView>
  </sheetViews>
  <sheetFormatPr defaultColWidth="9.140625" defaultRowHeight="12.75"/>
  <cols>
    <col min="1" max="1" width="2.140625" style="1" customWidth="1"/>
    <col min="2" max="2" width="38.8515625" style="1" customWidth="1"/>
    <col min="3" max="3" width="1.8515625" style="1" customWidth="1"/>
    <col min="4" max="4" width="16.7109375" style="1" customWidth="1"/>
    <col min="5" max="5" width="2.7109375" style="1" customWidth="1"/>
    <col min="6" max="6" width="16.7109375" style="1" customWidth="1"/>
    <col min="7" max="7" width="5.7109375" style="1" customWidth="1"/>
    <col min="8" max="8" width="16.7109375" style="1" customWidth="1"/>
    <col min="9" max="9" width="2.7109375" style="1" customWidth="1"/>
    <col min="10" max="10" width="16.7109375" style="1" customWidth="1"/>
    <col min="11" max="11" width="2.00390625" style="1" customWidth="1"/>
    <col min="12" max="12" width="9.7109375" style="1" bestFit="1" customWidth="1"/>
    <col min="13" max="16384" width="9.140625" style="1" customWidth="1"/>
  </cols>
  <sheetData>
    <row r="2" ht="18">
      <c r="B2" s="6" t="s">
        <v>0</v>
      </c>
    </row>
    <row r="3" ht="14.25">
      <c r="B3" s="7" t="s">
        <v>1</v>
      </c>
    </row>
    <row r="5" spans="2:9" ht="14.25">
      <c r="B5" s="3" t="s">
        <v>2</v>
      </c>
      <c r="I5" s="1" t="s">
        <v>13</v>
      </c>
    </row>
    <row r="6" ht="14.25">
      <c r="B6" s="3" t="s">
        <v>133</v>
      </c>
    </row>
    <row r="8" spans="2:10" ht="13.5" thickBot="1">
      <c r="B8" s="4"/>
      <c r="C8" s="4"/>
      <c r="D8" s="4"/>
      <c r="E8" s="4"/>
      <c r="F8" s="4"/>
      <c r="G8" s="4"/>
      <c r="H8" s="4"/>
      <c r="I8" s="4"/>
      <c r="J8" s="4"/>
    </row>
    <row r="9" ht="4.5" customHeight="1"/>
    <row r="10" spans="2:10" ht="14.25">
      <c r="B10" s="2"/>
      <c r="C10" s="2"/>
      <c r="D10" s="174" t="s">
        <v>3</v>
      </c>
      <c r="E10" s="174"/>
      <c r="F10" s="174"/>
      <c r="G10" s="2"/>
      <c r="H10" s="174" t="s">
        <v>8</v>
      </c>
      <c r="I10" s="174"/>
      <c r="J10" s="174"/>
    </row>
    <row r="11" spans="2:10" ht="14.25">
      <c r="B11" s="2"/>
      <c r="C11" s="2"/>
      <c r="D11" s="2"/>
      <c r="E11" s="2"/>
      <c r="F11" s="2"/>
      <c r="G11" s="2"/>
      <c r="H11" s="2"/>
      <c r="I11" s="2"/>
      <c r="J11" s="2"/>
    </row>
    <row r="12" spans="2:12" ht="14.25">
      <c r="B12" s="2"/>
      <c r="C12" s="2"/>
      <c r="D12" s="8" t="s">
        <v>4</v>
      </c>
      <c r="E12" s="8" t="s">
        <v>13</v>
      </c>
      <c r="F12" s="8" t="s">
        <v>38</v>
      </c>
      <c r="G12" s="2"/>
      <c r="H12" s="8" t="s">
        <v>4</v>
      </c>
      <c r="I12" s="8"/>
      <c r="J12" s="8" t="s">
        <v>38</v>
      </c>
      <c r="L12" s="1" t="s">
        <v>13</v>
      </c>
    </row>
    <row r="13" spans="2:10" ht="14.25">
      <c r="B13" s="2"/>
      <c r="C13" s="2"/>
      <c r="D13" s="8" t="s">
        <v>5</v>
      </c>
      <c r="E13" s="8"/>
      <c r="F13" s="8" t="s">
        <v>39</v>
      </c>
      <c r="G13" s="2"/>
      <c r="H13" s="8" t="s">
        <v>5</v>
      </c>
      <c r="I13" s="8"/>
      <c r="J13" s="8" t="s">
        <v>39</v>
      </c>
    </row>
    <row r="14" spans="2:10" ht="14.25">
      <c r="B14" s="2"/>
      <c r="C14" s="2"/>
      <c r="D14" s="8" t="s">
        <v>6</v>
      </c>
      <c r="E14" s="8"/>
      <c r="F14" s="8" t="s">
        <v>6</v>
      </c>
      <c r="G14" s="2"/>
      <c r="H14" s="8" t="s">
        <v>41</v>
      </c>
      <c r="I14" s="8"/>
      <c r="J14" s="8" t="s">
        <v>42</v>
      </c>
    </row>
    <row r="15" spans="2:10" ht="14.25">
      <c r="B15" s="2"/>
      <c r="C15" s="2"/>
      <c r="D15" s="9">
        <v>39355</v>
      </c>
      <c r="E15" s="9"/>
      <c r="F15" s="9">
        <v>38990</v>
      </c>
      <c r="G15" s="2"/>
      <c r="H15" s="9">
        <v>39355</v>
      </c>
      <c r="I15" s="9"/>
      <c r="J15" s="9">
        <v>38990</v>
      </c>
    </row>
    <row r="16" spans="2:10" ht="14.25">
      <c r="B16" s="2" t="s">
        <v>9</v>
      </c>
      <c r="C16" s="2"/>
      <c r="D16" s="8" t="s">
        <v>7</v>
      </c>
      <c r="E16" s="8"/>
      <c r="F16" s="8" t="s">
        <v>7</v>
      </c>
      <c r="G16" s="2"/>
      <c r="H16" s="8" t="s">
        <v>7</v>
      </c>
      <c r="I16" s="8"/>
      <c r="J16" s="8" t="s">
        <v>7</v>
      </c>
    </row>
    <row r="17" spans="2:10" ht="4.5" customHeight="1" thickBot="1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4.25">
      <c r="B18" s="2"/>
      <c r="C18" s="2"/>
      <c r="D18" s="2"/>
      <c r="E18" s="2"/>
      <c r="F18" s="2"/>
      <c r="G18" s="2"/>
      <c r="H18" s="2"/>
      <c r="I18" s="2"/>
      <c r="J18" s="2"/>
    </row>
    <row r="19" spans="2:10" ht="14.25">
      <c r="B19" s="2" t="s">
        <v>10</v>
      </c>
      <c r="C19" s="2"/>
      <c r="D19" s="14">
        <f>37099166/1000</f>
        <v>37099.166</v>
      </c>
      <c r="E19" s="11"/>
      <c r="F19" s="11">
        <v>54657</v>
      </c>
      <c r="G19" s="11"/>
      <c r="H19" s="14">
        <f>138246716/1000</f>
        <v>138246.716</v>
      </c>
      <c r="I19" s="11"/>
      <c r="J19" s="11">
        <v>213268</v>
      </c>
    </row>
    <row r="20" spans="2:10" ht="14.25">
      <c r="B20" s="2"/>
      <c r="C20" s="2"/>
      <c r="D20" s="14"/>
      <c r="E20" s="11"/>
      <c r="F20" s="11"/>
      <c r="G20" s="11"/>
      <c r="H20" s="14"/>
      <c r="I20" s="11"/>
      <c r="J20" s="11"/>
    </row>
    <row r="21" spans="2:10" ht="14.25">
      <c r="B21" s="2" t="s">
        <v>11</v>
      </c>
      <c r="C21" s="2"/>
      <c r="D21" s="164">
        <f>-16354086/1000</f>
        <v>-16354.086</v>
      </c>
      <c r="E21" s="12"/>
      <c r="F21" s="12">
        <v>-35611</v>
      </c>
      <c r="G21" s="11"/>
      <c r="H21" s="164">
        <f>-85930695/1000</f>
        <v>-85930.695</v>
      </c>
      <c r="I21" s="12"/>
      <c r="J21" s="12">
        <v>-149705</v>
      </c>
    </row>
    <row r="22" spans="2:10" ht="4.5" customHeight="1">
      <c r="B22" s="2"/>
      <c r="C22" s="2"/>
      <c r="D22" s="14"/>
      <c r="E22" s="11"/>
      <c r="F22" s="11"/>
      <c r="G22" s="11"/>
      <c r="H22" s="14"/>
      <c r="I22" s="11"/>
      <c r="J22" s="11"/>
    </row>
    <row r="23" spans="2:11" ht="14.25">
      <c r="B23" s="2" t="s">
        <v>12</v>
      </c>
      <c r="C23" s="2"/>
      <c r="D23" s="14">
        <f>+D19+D21</f>
        <v>20745.079999999998</v>
      </c>
      <c r="E23" s="11"/>
      <c r="F23" s="11">
        <f>+F19+F21</f>
        <v>19046</v>
      </c>
      <c r="G23" s="11"/>
      <c r="H23" s="14">
        <f>+H19+H21</f>
        <v>52316.02099999998</v>
      </c>
      <c r="I23" s="11"/>
      <c r="J23" s="11">
        <f>+J19+J21</f>
        <v>63563</v>
      </c>
      <c r="K23" s="1" t="s">
        <v>13</v>
      </c>
    </row>
    <row r="24" spans="2:10" ht="14.25">
      <c r="B24" s="2"/>
      <c r="C24" s="2"/>
      <c r="D24" s="14"/>
      <c r="E24" s="11"/>
      <c r="F24" s="11"/>
      <c r="G24" s="11"/>
      <c r="H24" s="14"/>
      <c r="I24" s="11"/>
      <c r="J24" s="11"/>
    </row>
    <row r="25" spans="2:12" ht="14.25">
      <c r="B25" s="2" t="s">
        <v>14</v>
      </c>
      <c r="C25" s="2"/>
      <c r="D25" s="14">
        <f>1132332/1000</f>
        <v>1132.332</v>
      </c>
      <c r="E25" s="11"/>
      <c r="F25" s="11">
        <v>1605</v>
      </c>
      <c r="G25" s="11"/>
      <c r="H25" s="14">
        <f>12204510/1000</f>
        <v>12204.51</v>
      </c>
      <c r="I25" s="11" t="s">
        <v>13</v>
      </c>
      <c r="J25" s="11">
        <f>3986+1195</f>
        <v>5181</v>
      </c>
      <c r="L25" s="1" t="s">
        <v>13</v>
      </c>
    </row>
    <row r="26" spans="2:10" ht="14.25">
      <c r="B26" s="2"/>
      <c r="C26" s="2"/>
      <c r="D26" s="14"/>
      <c r="E26" s="11"/>
      <c r="F26" s="11"/>
      <c r="G26" s="11"/>
      <c r="H26" s="14"/>
      <c r="I26" s="11"/>
      <c r="J26" s="11"/>
    </row>
    <row r="27" spans="2:10" ht="14.25">
      <c r="B27" s="2" t="s">
        <v>134</v>
      </c>
      <c r="C27" s="2"/>
      <c r="D27" s="14">
        <v>0</v>
      </c>
      <c r="E27" s="11"/>
      <c r="F27" s="11">
        <v>-300</v>
      </c>
      <c r="G27" s="11"/>
      <c r="H27" s="14">
        <f>-466897/1000</f>
        <v>-466.897</v>
      </c>
      <c r="I27" s="11"/>
      <c r="J27" s="11">
        <v>-804</v>
      </c>
    </row>
    <row r="28" spans="2:10" ht="14.25">
      <c r="B28" s="2"/>
      <c r="C28" s="2"/>
      <c r="D28" s="14"/>
      <c r="E28" s="11"/>
      <c r="F28" s="11"/>
      <c r="G28" s="11"/>
      <c r="H28" s="14"/>
      <c r="I28" s="11"/>
      <c r="J28" s="11"/>
    </row>
    <row r="29" spans="2:12" ht="14.25">
      <c r="B29" s="2" t="s">
        <v>15</v>
      </c>
      <c r="C29" s="2"/>
      <c r="D29" s="14">
        <f>-6960932/1000</f>
        <v>-6960.932</v>
      </c>
      <c r="E29" s="11"/>
      <c r="F29" s="11">
        <v>-11229</v>
      </c>
      <c r="G29" s="11"/>
      <c r="H29" s="14">
        <f>-25700917/1000</f>
        <v>-25700.917</v>
      </c>
      <c r="I29" s="11"/>
      <c r="J29" s="11">
        <v>-28408</v>
      </c>
      <c r="L29" s="66"/>
    </row>
    <row r="30" spans="2:10" ht="14.25">
      <c r="B30" s="2"/>
      <c r="C30" s="2"/>
      <c r="D30" s="14"/>
      <c r="E30" s="11"/>
      <c r="F30" s="11"/>
      <c r="G30" s="11"/>
      <c r="H30" s="14"/>
      <c r="I30" s="13"/>
      <c r="J30" s="11"/>
    </row>
    <row r="31" spans="2:13" ht="14.25">
      <c r="B31" s="2" t="s">
        <v>135</v>
      </c>
      <c r="C31" s="2"/>
      <c r="D31" s="14">
        <f>1027395/1000</f>
        <v>1027.395</v>
      </c>
      <c r="E31" s="11"/>
      <c r="F31" s="11">
        <v>0</v>
      </c>
      <c r="G31" s="11"/>
      <c r="H31" s="14">
        <f>1027395/1000</f>
        <v>1027.395</v>
      </c>
      <c r="I31" s="13" t="s">
        <v>13</v>
      </c>
      <c r="J31" s="11">
        <v>13706</v>
      </c>
      <c r="L31" s="123"/>
      <c r="M31" s="66"/>
    </row>
    <row r="32" spans="2:13" ht="14.25">
      <c r="B32" s="2"/>
      <c r="C32" s="2"/>
      <c r="D32" s="14"/>
      <c r="E32" s="11"/>
      <c r="F32" s="11"/>
      <c r="G32" s="11"/>
      <c r="H32" s="14"/>
      <c r="I32" s="13"/>
      <c r="J32" s="11"/>
      <c r="L32" s="123"/>
      <c r="M32" s="66"/>
    </row>
    <row r="33" spans="2:12" ht="14.25">
      <c r="B33" s="88" t="s">
        <v>136</v>
      </c>
      <c r="C33" s="2"/>
      <c r="D33" s="14">
        <v>0</v>
      </c>
      <c r="E33" s="11"/>
      <c r="F33" s="132">
        <v>0</v>
      </c>
      <c r="G33" s="11"/>
      <c r="H33" s="131">
        <f>25039527/1000</f>
        <v>25039.527</v>
      </c>
      <c r="I33" s="13"/>
      <c r="J33" s="11">
        <v>0</v>
      </c>
      <c r="L33" s="123"/>
    </row>
    <row r="34" spans="2:12" ht="14.25">
      <c r="B34" s="88"/>
      <c r="C34" s="2"/>
      <c r="D34" s="14"/>
      <c r="E34" s="11"/>
      <c r="F34" s="11"/>
      <c r="G34" s="11"/>
      <c r="H34" s="14"/>
      <c r="I34" s="13"/>
      <c r="J34" s="11"/>
      <c r="L34" s="123"/>
    </row>
    <row r="35" spans="2:13" ht="14.25">
      <c r="B35" s="2" t="s">
        <v>16</v>
      </c>
      <c r="C35" s="2"/>
      <c r="D35" s="14">
        <f>-(1809356+602726)/1000</f>
        <v>-2412.082</v>
      </c>
      <c r="E35" s="11"/>
      <c r="F35" s="11">
        <v>-5609</v>
      </c>
      <c r="G35" s="11"/>
      <c r="H35" s="14">
        <f>-(13593462+4482154)/1000</f>
        <v>-18075.616</v>
      </c>
      <c r="I35" s="13"/>
      <c r="J35" s="13">
        <v>-24718</v>
      </c>
      <c r="L35" s="66"/>
      <c r="M35" s="66"/>
    </row>
    <row r="36" spans="2:10" ht="14.25">
      <c r="B36" s="2"/>
      <c r="C36" s="2"/>
      <c r="D36" s="164"/>
      <c r="E36" s="12"/>
      <c r="F36" s="12"/>
      <c r="G36" s="11"/>
      <c r="H36" s="164"/>
      <c r="I36" s="12"/>
      <c r="J36" s="12"/>
    </row>
    <row r="37" spans="2:10" ht="4.5" customHeight="1">
      <c r="B37" s="2"/>
      <c r="C37" s="2"/>
      <c r="D37" s="14"/>
      <c r="E37" s="11"/>
      <c r="F37" s="11"/>
      <c r="G37" s="11"/>
      <c r="H37" s="14"/>
      <c r="I37" s="13"/>
      <c r="J37" s="11"/>
    </row>
    <row r="38" spans="2:10" ht="14.25">
      <c r="B38" s="2" t="s">
        <v>82</v>
      </c>
      <c r="C38" s="2"/>
      <c r="D38" s="14">
        <f>SUM(D23:D36)</f>
        <v>13531.792999999996</v>
      </c>
      <c r="E38" s="11"/>
      <c r="F38" s="11">
        <f>SUM(F23:F36)+1</f>
        <v>3514</v>
      </c>
      <c r="G38" s="11"/>
      <c r="H38" s="14">
        <f>SUM(H23:H36)+1</f>
        <v>46345.02299999998</v>
      </c>
      <c r="I38" s="13"/>
      <c r="J38" s="11">
        <f>SUM(J23:J36)</f>
        <v>28520</v>
      </c>
    </row>
    <row r="39" spans="2:10" ht="14.25">
      <c r="B39" s="2"/>
      <c r="C39" s="2"/>
      <c r="D39" s="14"/>
      <c r="E39" s="11"/>
      <c r="F39" s="11"/>
      <c r="G39" s="11"/>
      <c r="H39" s="14"/>
      <c r="I39" s="13"/>
      <c r="J39" s="11"/>
    </row>
    <row r="40" spans="2:10" ht="14.25">
      <c r="B40" s="2" t="s">
        <v>148</v>
      </c>
      <c r="C40" s="2"/>
      <c r="D40" s="14">
        <f>-5509622/1000</f>
        <v>-5509.622</v>
      </c>
      <c r="E40" s="11"/>
      <c r="F40" s="11">
        <v>-3157</v>
      </c>
      <c r="G40" s="11"/>
      <c r="H40" s="14">
        <f>-16381771/1000</f>
        <v>-16381.771</v>
      </c>
      <c r="I40" s="13"/>
      <c r="J40" s="11">
        <f>-18376-1195</f>
        <v>-19571</v>
      </c>
    </row>
    <row r="41" spans="2:12" ht="14.25">
      <c r="B41" s="2"/>
      <c r="C41" s="2"/>
      <c r="D41" s="14"/>
      <c r="E41" s="11"/>
      <c r="F41" s="11"/>
      <c r="G41" s="11"/>
      <c r="H41" s="14"/>
      <c r="I41" s="13"/>
      <c r="J41" s="11"/>
      <c r="L41" s="1">
        <v>0</v>
      </c>
    </row>
    <row r="42" spans="2:13" ht="14.25">
      <c r="B42" s="2" t="s">
        <v>83</v>
      </c>
      <c r="C42" s="2"/>
      <c r="D42" s="164">
        <v>0</v>
      </c>
      <c r="E42" s="12"/>
      <c r="F42" s="12">
        <v>-167</v>
      </c>
      <c r="G42" s="11"/>
      <c r="H42" s="164">
        <f>-334159/1000</f>
        <v>-334.159</v>
      </c>
      <c r="I42" s="12"/>
      <c r="J42" s="12">
        <v>-501</v>
      </c>
      <c r="M42" s="66"/>
    </row>
    <row r="43" spans="2:12" ht="4.5" customHeight="1">
      <c r="B43" s="2"/>
      <c r="C43" s="2"/>
      <c r="D43" s="14"/>
      <c r="E43" s="11"/>
      <c r="F43" s="11"/>
      <c r="G43" s="11"/>
      <c r="H43" s="14"/>
      <c r="I43" s="11"/>
      <c r="J43" s="11"/>
      <c r="K43" s="1" t="s">
        <v>13</v>
      </c>
      <c r="L43" s="1" t="s">
        <v>13</v>
      </c>
    </row>
    <row r="44" spans="2:13" ht="14.25">
      <c r="B44" s="2" t="s">
        <v>17</v>
      </c>
      <c r="C44" s="2"/>
      <c r="D44" s="14">
        <f>SUM(D38:D43)</f>
        <v>8022.170999999996</v>
      </c>
      <c r="E44" s="11"/>
      <c r="F44" s="11">
        <f>SUM(F38:F43)</f>
        <v>190</v>
      </c>
      <c r="G44" s="11"/>
      <c r="H44" s="14">
        <f>SUM(H38:H43)-1</f>
        <v>29628.09299999998</v>
      </c>
      <c r="I44" s="11" t="s">
        <v>13</v>
      </c>
      <c r="J44" s="11">
        <f>SUM(J38:J43)</f>
        <v>8448</v>
      </c>
      <c r="K44" s="1" t="s">
        <v>13</v>
      </c>
      <c r="M44" s="66"/>
    </row>
    <row r="45" spans="2:10" ht="14.25">
      <c r="B45" s="2"/>
      <c r="C45" s="2"/>
      <c r="D45" s="14"/>
      <c r="E45" s="11"/>
      <c r="F45" s="11"/>
      <c r="G45" s="11"/>
      <c r="H45" s="14"/>
      <c r="I45" s="11"/>
      <c r="J45" s="11"/>
    </row>
    <row r="46" spans="2:10" ht="14.25">
      <c r="B46" s="2" t="s">
        <v>18</v>
      </c>
      <c r="C46" s="2"/>
      <c r="D46" s="164">
        <f>-5789065/1000</f>
        <v>-5789.065</v>
      </c>
      <c r="E46" s="12"/>
      <c r="F46" s="12">
        <v>954</v>
      </c>
      <c r="G46" s="11"/>
      <c r="H46" s="164">
        <f>-8409319/1000</f>
        <v>-8409.319</v>
      </c>
      <c r="I46" s="12"/>
      <c r="J46" s="12">
        <v>-1721</v>
      </c>
    </row>
    <row r="47" spans="2:10" ht="4.5" customHeight="1">
      <c r="B47" s="2"/>
      <c r="C47" s="2"/>
      <c r="D47" s="14"/>
      <c r="E47" s="11"/>
      <c r="F47" s="11"/>
      <c r="G47" s="11"/>
      <c r="H47" s="14"/>
      <c r="I47" s="11"/>
      <c r="J47" s="11"/>
    </row>
    <row r="48" spans="2:12" ht="14.25">
      <c r="B48" s="2" t="s">
        <v>81</v>
      </c>
      <c r="C48" s="2"/>
      <c r="D48" s="14">
        <f>SUM(D44:D47)</f>
        <v>2233.105999999996</v>
      </c>
      <c r="E48" s="14"/>
      <c r="F48" s="14">
        <f>SUM(F44:F47)</f>
        <v>1144</v>
      </c>
      <c r="G48" s="14"/>
      <c r="H48" s="14">
        <f>SUM(H44:H47)</f>
        <v>21218.77399999998</v>
      </c>
      <c r="I48" s="14"/>
      <c r="J48" s="14">
        <f>SUM(J44:J47)</f>
        <v>6727</v>
      </c>
      <c r="L48" s="1" t="s">
        <v>13</v>
      </c>
    </row>
    <row r="49" spans="2:11" ht="4.5" customHeight="1" thickBot="1">
      <c r="B49" s="2"/>
      <c r="C49" s="2"/>
      <c r="D49" s="165"/>
      <c r="E49" s="15"/>
      <c r="F49" s="15"/>
      <c r="G49" s="11"/>
      <c r="H49" s="165"/>
      <c r="I49" s="15"/>
      <c r="J49" s="15"/>
      <c r="K49" s="1" t="s">
        <v>13</v>
      </c>
    </row>
    <row r="50" spans="2:10" ht="15" thickTop="1">
      <c r="B50" s="2"/>
      <c r="C50" s="2"/>
      <c r="D50" s="14"/>
      <c r="E50" s="11"/>
      <c r="F50" s="11"/>
      <c r="G50" s="11"/>
      <c r="H50" s="14"/>
      <c r="I50" s="11"/>
      <c r="J50" s="11"/>
    </row>
    <row r="51" spans="2:10" ht="14.25">
      <c r="B51" s="2"/>
      <c r="C51" s="2"/>
      <c r="D51" s="14"/>
      <c r="E51" s="11"/>
      <c r="F51" s="11"/>
      <c r="G51" s="11"/>
      <c r="H51" s="14"/>
      <c r="I51" s="11"/>
      <c r="J51" s="11"/>
    </row>
    <row r="52" spans="2:12" ht="14.25">
      <c r="B52" s="2" t="s">
        <v>19</v>
      </c>
      <c r="C52" s="2"/>
      <c r="D52" s="14"/>
      <c r="E52" s="11"/>
      <c r="F52" s="11"/>
      <c r="G52" s="11"/>
      <c r="H52" s="14"/>
      <c r="I52" s="11"/>
      <c r="J52" s="11"/>
      <c r="L52" s="1" t="s">
        <v>13</v>
      </c>
    </row>
    <row r="53" spans="2:10" ht="7.5" customHeight="1">
      <c r="B53" s="2"/>
      <c r="C53" s="2"/>
      <c r="D53" s="14"/>
      <c r="E53" s="11"/>
      <c r="F53" s="11"/>
      <c r="G53" s="11"/>
      <c r="H53" s="14"/>
      <c r="I53" s="11"/>
      <c r="J53" s="11"/>
    </row>
    <row r="54" spans="2:12" ht="14.25">
      <c r="B54" s="2" t="s">
        <v>137</v>
      </c>
      <c r="C54" s="2"/>
      <c r="D54" s="14">
        <f>1845616/1000</f>
        <v>1845.616</v>
      </c>
      <c r="E54" s="11"/>
      <c r="F54" s="11">
        <v>1157</v>
      </c>
      <c r="G54" s="11"/>
      <c r="H54" s="14">
        <f>17553992/1000</f>
        <v>17553.992</v>
      </c>
      <c r="I54" s="11" t="s">
        <v>13</v>
      </c>
      <c r="J54" s="11">
        <v>4632</v>
      </c>
      <c r="L54" s="1" t="s">
        <v>13</v>
      </c>
    </row>
    <row r="55" spans="2:10" ht="14.25">
      <c r="B55" s="2" t="s">
        <v>20</v>
      </c>
      <c r="C55" s="2"/>
      <c r="D55" s="164">
        <f>387490/1000</f>
        <v>387.49</v>
      </c>
      <c r="E55" s="12"/>
      <c r="F55" s="12">
        <v>-13</v>
      </c>
      <c r="G55" s="11"/>
      <c r="H55" s="164">
        <f>3664780/1000</f>
        <v>3664.78</v>
      </c>
      <c r="I55" s="12"/>
      <c r="J55" s="12">
        <v>2095</v>
      </c>
    </row>
    <row r="56" spans="2:10" ht="4.5" customHeight="1">
      <c r="B56" s="2"/>
      <c r="C56" s="2"/>
      <c r="D56" s="14"/>
      <c r="E56" s="11"/>
      <c r="F56" s="11"/>
      <c r="G56" s="11"/>
      <c r="H56" s="14"/>
      <c r="I56" s="11"/>
      <c r="J56" s="11"/>
    </row>
    <row r="57" spans="2:11" ht="14.25">
      <c r="B57" s="2"/>
      <c r="C57" s="2"/>
      <c r="D57" s="14">
        <f>SUM(D54:D55)</f>
        <v>2233.1059999999998</v>
      </c>
      <c r="E57" s="14"/>
      <c r="F57" s="14">
        <f>SUM(F54:F55)</f>
        <v>1144</v>
      </c>
      <c r="G57" s="14"/>
      <c r="H57" s="14">
        <f>SUM(H54:H55)</f>
        <v>21218.771999999997</v>
      </c>
      <c r="I57" s="14"/>
      <c r="J57" s="14">
        <f>SUM(J54:J55)</f>
        <v>6727</v>
      </c>
      <c r="K57" s="1" t="s">
        <v>13</v>
      </c>
    </row>
    <row r="58" spans="2:10" ht="4.5" customHeight="1" thickBot="1">
      <c r="B58" s="2"/>
      <c r="C58" s="2"/>
      <c r="D58" s="165"/>
      <c r="E58" s="15"/>
      <c r="F58" s="15"/>
      <c r="G58" s="11"/>
      <c r="H58" s="165"/>
      <c r="I58" s="15"/>
      <c r="J58" s="15"/>
    </row>
    <row r="59" spans="2:12" ht="15" thickTop="1">
      <c r="B59" s="2"/>
      <c r="C59" s="2"/>
      <c r="D59" s="3"/>
      <c r="E59" s="2"/>
      <c r="F59" s="2"/>
      <c r="G59" s="2"/>
      <c r="H59" s="3"/>
      <c r="I59" s="2"/>
      <c r="J59" s="2"/>
      <c r="L59" s="1" t="s">
        <v>13</v>
      </c>
    </row>
    <row r="60" spans="2:14" ht="14.25">
      <c r="B60" s="2"/>
      <c r="C60" s="2"/>
      <c r="D60" s="3"/>
      <c r="E60" s="2"/>
      <c r="F60" s="2"/>
      <c r="G60" s="2"/>
      <c r="H60" s="3"/>
      <c r="I60" s="2"/>
      <c r="J60" s="2"/>
      <c r="L60" s="1" t="s">
        <v>13</v>
      </c>
      <c r="N60" s="1" t="s">
        <v>13</v>
      </c>
    </row>
    <row r="61" spans="2:11" ht="14.25">
      <c r="B61" s="2" t="s">
        <v>138</v>
      </c>
      <c r="C61" s="2"/>
      <c r="D61" s="166">
        <f>+D54/450000*100</f>
        <v>0.4101368888888889</v>
      </c>
      <c r="E61" s="2"/>
      <c r="F61" s="167">
        <f>+F54/450000*100</f>
        <v>0.2571111111111111</v>
      </c>
      <c r="G61" s="2"/>
      <c r="H61" s="166">
        <f>+H54/450000*100</f>
        <v>3.9008871111111105</v>
      </c>
      <c r="I61" s="2"/>
      <c r="J61" s="167">
        <f>+J54/450000*100</f>
        <v>1.0293333333333332</v>
      </c>
      <c r="K61" s="1" t="s">
        <v>13</v>
      </c>
    </row>
    <row r="62" spans="2:10" ht="14.25">
      <c r="B62" s="2"/>
      <c r="C62" s="2"/>
      <c r="D62" s="3"/>
      <c r="E62" s="2" t="s">
        <v>13</v>
      </c>
      <c r="F62" s="2"/>
      <c r="G62" s="2"/>
      <c r="H62" s="3"/>
      <c r="I62" s="2"/>
      <c r="J62" s="2"/>
    </row>
    <row r="63" spans="2:11" ht="14.25">
      <c r="B63" s="2" t="s">
        <v>139</v>
      </c>
      <c r="C63" s="2"/>
      <c r="D63" s="166">
        <f>+D54/450000*100</f>
        <v>0.4101368888888889</v>
      </c>
      <c r="E63" s="2"/>
      <c r="F63" s="167">
        <f>+F54/450000*100</f>
        <v>0.2571111111111111</v>
      </c>
      <c r="G63" s="2"/>
      <c r="H63" s="166">
        <f>+H54/450000*100</f>
        <v>3.9008871111111105</v>
      </c>
      <c r="I63" s="2"/>
      <c r="J63" s="167">
        <f>+J54/450000*100</f>
        <v>1.0293333333333332</v>
      </c>
      <c r="K63" s="1" t="s">
        <v>13</v>
      </c>
    </row>
    <row r="66" s="168" customFormat="1" ht="14.25">
      <c r="B66" s="88" t="s">
        <v>80</v>
      </c>
    </row>
    <row r="67" spans="2:14" s="168" customFormat="1" ht="14.25">
      <c r="B67" s="88" t="s">
        <v>140</v>
      </c>
      <c r="N67" s="168" t="s">
        <v>13</v>
      </c>
    </row>
    <row r="70" ht="12.75">
      <c r="K70" s="1" t="s">
        <v>13</v>
      </c>
    </row>
  </sheetData>
  <mergeCells count="2">
    <mergeCell ref="D10:F10"/>
    <mergeCell ref="H10:J10"/>
  </mergeCells>
  <printOptions/>
  <pageMargins left="0.59" right="0.75" top="0.85" bottom="1" header="0.5" footer="0.5"/>
  <pageSetup horizontalDpi="600" verticalDpi="600" orientation="portrait" scale="74" r:id="rId1"/>
  <headerFooter alignWithMargins="0">
    <oddFooter>&amp;C&amp;"Tahoma,Regular"- 1 -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6"/>
  <sheetViews>
    <sheetView view="pageBreakPreview" zoomScale="75" zoomScaleNormal="85" zoomScaleSheetLayoutView="75" workbookViewId="0" topLeftCell="A13">
      <selection activeCell="J24" sqref="J24"/>
    </sheetView>
  </sheetViews>
  <sheetFormatPr defaultColWidth="9.140625" defaultRowHeight="12.75"/>
  <cols>
    <col min="1" max="1" width="1.421875" style="0" customWidth="1"/>
    <col min="2" max="3" width="17.7109375" style="0" hidden="1" customWidth="1"/>
    <col min="4" max="4" width="72.8515625" style="0" customWidth="1"/>
    <col min="5" max="5" width="1.7109375" style="0" customWidth="1"/>
    <col min="6" max="6" width="20.7109375" style="109" customWidth="1"/>
    <col min="7" max="7" width="3.7109375" style="17" customWidth="1"/>
    <col min="8" max="8" width="20.7109375" style="0" customWidth="1"/>
    <col min="9" max="9" width="1.421875" style="0" customWidth="1"/>
    <col min="10" max="10" width="14.140625" style="17" customWidth="1"/>
    <col min="11" max="11" width="2.8515625" style="17" customWidth="1"/>
    <col min="12" max="12" width="15.00390625" style="17" customWidth="1"/>
    <col min="13" max="13" width="11.8515625" style="0" customWidth="1"/>
  </cols>
  <sheetData>
    <row r="1" spans="1:9" ht="18.75">
      <c r="A1" s="16"/>
      <c r="B1" s="26"/>
      <c r="C1" s="26"/>
      <c r="D1" s="6" t="s">
        <v>0</v>
      </c>
      <c r="E1" s="16"/>
      <c r="F1" s="94"/>
      <c r="G1" s="26"/>
      <c r="H1" s="16"/>
      <c r="I1" s="16"/>
    </row>
    <row r="2" spans="1:9" ht="15.75">
      <c r="A2" s="16"/>
      <c r="B2" s="26"/>
      <c r="C2" s="26"/>
      <c r="D2" s="7" t="s">
        <v>1</v>
      </c>
      <c r="E2" s="16"/>
      <c r="F2" s="94"/>
      <c r="G2" s="26"/>
      <c r="H2" s="16"/>
      <c r="I2" s="16"/>
    </row>
    <row r="3" spans="1:9" ht="15">
      <c r="A3" s="16"/>
      <c r="B3" s="26"/>
      <c r="C3" s="26"/>
      <c r="D3" s="1"/>
      <c r="E3" s="16"/>
      <c r="F3" s="94"/>
      <c r="G3" s="26"/>
      <c r="H3" s="16"/>
      <c r="I3" s="16"/>
    </row>
    <row r="4" spans="1:9" ht="15.75">
      <c r="A4" s="16"/>
      <c r="B4" s="26"/>
      <c r="C4" s="26"/>
      <c r="D4" s="3" t="s">
        <v>40</v>
      </c>
      <c r="E4" s="16"/>
      <c r="F4" s="94"/>
      <c r="G4" s="26"/>
      <c r="H4" s="16"/>
      <c r="I4" s="16"/>
    </row>
    <row r="5" spans="1:9" s="17" customFormat="1" ht="16.5">
      <c r="A5" s="26"/>
      <c r="C5" s="27"/>
      <c r="D5" s="3" t="s">
        <v>141</v>
      </c>
      <c r="E5" s="18"/>
      <c r="F5" s="95"/>
      <c r="G5" s="18"/>
      <c r="H5" s="18"/>
      <c r="I5" s="26"/>
    </row>
    <row r="6" spans="1:9" s="17" customFormat="1" ht="16.5">
      <c r="A6" s="26"/>
      <c r="C6" s="27"/>
      <c r="D6" s="27"/>
      <c r="E6" s="18"/>
      <c r="F6" s="96" t="s">
        <v>37</v>
      </c>
      <c r="G6" s="36"/>
      <c r="H6" s="36" t="s">
        <v>37</v>
      </c>
      <c r="I6" s="26"/>
    </row>
    <row r="7" spans="1:9" s="17" customFormat="1" ht="16.5">
      <c r="A7" s="26"/>
      <c r="C7" s="27"/>
      <c r="D7" s="27"/>
      <c r="E7" s="18"/>
      <c r="F7" s="97" t="s">
        <v>142</v>
      </c>
      <c r="G7" s="56"/>
      <c r="H7" s="97" t="s">
        <v>101</v>
      </c>
      <c r="I7" s="26" t="s">
        <v>13</v>
      </c>
    </row>
    <row r="8" spans="1:9" s="17" customFormat="1" ht="15.75">
      <c r="A8" s="26"/>
      <c r="B8" s="29" t="s">
        <v>21</v>
      </c>
      <c r="C8" s="29" t="s">
        <v>21</v>
      </c>
      <c r="D8" s="28"/>
      <c r="E8" s="38"/>
      <c r="F8" s="98" t="s">
        <v>7</v>
      </c>
      <c r="G8" s="57"/>
      <c r="H8" s="57" t="s">
        <v>7</v>
      </c>
      <c r="I8" s="26"/>
    </row>
    <row r="9" spans="1:9" s="17" customFormat="1" ht="15.75">
      <c r="A9" s="26"/>
      <c r="B9" s="29"/>
      <c r="C9" s="29"/>
      <c r="D9" s="28"/>
      <c r="E9" s="38"/>
      <c r="F9" s="98"/>
      <c r="G9" s="57"/>
      <c r="H9" s="56"/>
      <c r="I9" s="26"/>
    </row>
    <row r="10" spans="1:9" s="17" customFormat="1" ht="15.75">
      <c r="A10" s="26"/>
      <c r="B10" s="26"/>
      <c r="C10" s="30" t="s">
        <v>13</v>
      </c>
      <c r="D10" s="31" t="s">
        <v>58</v>
      </c>
      <c r="E10" s="39"/>
      <c r="F10" s="99"/>
      <c r="G10" s="39"/>
      <c r="H10" s="39"/>
      <c r="I10" s="26"/>
    </row>
    <row r="11" spans="1:12" s="129" customFormat="1" ht="15.75">
      <c r="A11" s="124"/>
      <c r="B11" s="125">
        <v>1501563</v>
      </c>
      <c r="C11" s="33">
        <v>259836946</v>
      </c>
      <c r="D11" s="126" t="s">
        <v>22</v>
      </c>
      <c r="E11" s="126"/>
      <c r="F11" s="140">
        <f>53202139/1000-2131135/1000</f>
        <v>51071.004</v>
      </c>
      <c r="G11" s="170"/>
      <c r="H11" s="67">
        <v>58036</v>
      </c>
      <c r="I11" s="124"/>
      <c r="J11" s="171">
        <f>+H11-F11</f>
        <v>6964.995999999999</v>
      </c>
      <c r="L11" s="171"/>
    </row>
    <row r="12" spans="1:12" s="129" customFormat="1" ht="15.75">
      <c r="A12" s="124"/>
      <c r="B12" s="125"/>
      <c r="C12" s="33"/>
      <c r="D12" s="126" t="s">
        <v>105</v>
      </c>
      <c r="E12" s="126"/>
      <c r="F12" s="140">
        <f>5953776/1000+2131135/1000</f>
        <v>8084.911</v>
      </c>
      <c r="G12" s="172"/>
      <c r="H12" s="67">
        <v>8146</v>
      </c>
      <c r="I12" s="124"/>
      <c r="J12" s="171"/>
      <c r="L12" s="171"/>
    </row>
    <row r="13" spans="1:12" s="17" customFormat="1" ht="15.75">
      <c r="A13" s="26"/>
      <c r="B13" s="21"/>
      <c r="C13" s="30"/>
      <c r="D13" s="39" t="s">
        <v>106</v>
      </c>
      <c r="E13" s="39"/>
      <c r="F13" s="100">
        <f>698524/1000</f>
        <v>698.524</v>
      </c>
      <c r="G13" s="41"/>
      <c r="H13" s="40">
        <v>966</v>
      </c>
      <c r="I13" s="26"/>
      <c r="J13" s="19"/>
      <c r="L13" s="19"/>
    </row>
    <row r="14" spans="1:12" s="17" customFormat="1" ht="15.75">
      <c r="A14" s="26"/>
      <c r="B14" s="21">
        <v>0</v>
      </c>
      <c r="C14" s="30">
        <v>453122180</v>
      </c>
      <c r="D14" s="39" t="s">
        <v>94</v>
      </c>
      <c r="E14" s="39"/>
      <c r="F14" s="100">
        <f>325262954/1000</f>
        <v>325262.954</v>
      </c>
      <c r="G14" s="41"/>
      <c r="H14" s="40">
        <v>381072</v>
      </c>
      <c r="I14" s="26"/>
      <c r="J14" s="19">
        <f>+H14+H25-F14-F25</f>
        <v>36531.42699999997</v>
      </c>
      <c r="L14" s="19"/>
    </row>
    <row r="15" spans="1:13" s="17" customFormat="1" ht="15.75">
      <c r="A15" s="26"/>
      <c r="B15" s="21">
        <v>0</v>
      </c>
      <c r="C15" s="30">
        <v>206109844</v>
      </c>
      <c r="D15" s="39" t="s">
        <v>23</v>
      </c>
      <c r="E15" s="39"/>
      <c r="F15" s="100">
        <f>149703393/1000</f>
        <v>149703.393</v>
      </c>
      <c r="G15" s="42"/>
      <c r="H15" s="40">
        <v>211200</v>
      </c>
      <c r="I15" s="26"/>
      <c r="J15" s="19"/>
      <c r="L15" s="19"/>
      <c r="M15" s="19"/>
    </row>
    <row r="16" spans="1:12" s="17" customFormat="1" ht="15.75">
      <c r="A16" s="26"/>
      <c r="B16" s="21">
        <v>0</v>
      </c>
      <c r="C16" s="30">
        <v>13500000</v>
      </c>
      <c r="D16" s="39" t="s">
        <v>24</v>
      </c>
      <c r="E16" s="39"/>
      <c r="F16" s="100">
        <v>5500</v>
      </c>
      <c r="G16" s="42"/>
      <c r="H16" s="40">
        <v>5500</v>
      </c>
      <c r="I16" s="26"/>
      <c r="J16" s="19"/>
      <c r="L16" s="19"/>
    </row>
    <row r="17" spans="1:12" s="17" customFormat="1" ht="15.75">
      <c r="A17" s="26"/>
      <c r="B17" s="21">
        <v>0</v>
      </c>
      <c r="C17" s="30">
        <v>75662302</v>
      </c>
      <c r="D17" s="39" t="s">
        <v>25</v>
      </c>
      <c r="E17" s="39"/>
      <c r="F17" s="100">
        <f>+(70929871/1000)-F16</f>
        <v>65429.871</v>
      </c>
      <c r="G17" s="39"/>
      <c r="H17" s="40">
        <v>66478</v>
      </c>
      <c r="I17" s="26"/>
      <c r="J17" s="19"/>
      <c r="L17" s="19"/>
    </row>
    <row r="18" spans="1:12" s="17" customFormat="1" ht="15.75">
      <c r="A18" s="26"/>
      <c r="B18" s="5">
        <f>+'[1]2BS'!$D$14</f>
        <v>21881930</v>
      </c>
      <c r="C18" s="30">
        <v>25981693</v>
      </c>
      <c r="D18" s="39" t="s">
        <v>95</v>
      </c>
      <c r="E18" s="39"/>
      <c r="F18" s="100">
        <v>2000</v>
      </c>
      <c r="G18" s="13"/>
      <c r="H18" s="40">
        <v>4717</v>
      </c>
      <c r="I18" s="26"/>
      <c r="J18" s="19"/>
      <c r="L18" s="19"/>
    </row>
    <row r="19" spans="1:12" s="17" customFormat="1" ht="15.75">
      <c r="A19" s="26"/>
      <c r="B19" s="21"/>
      <c r="C19" s="30"/>
      <c r="D19" s="39" t="s">
        <v>97</v>
      </c>
      <c r="E19" s="43"/>
      <c r="F19" s="101">
        <f>1826401/1000</f>
        <v>1826.401</v>
      </c>
      <c r="G19" s="44"/>
      <c r="H19" s="40">
        <v>4222</v>
      </c>
      <c r="I19" s="26"/>
      <c r="J19" s="19"/>
      <c r="L19" s="19"/>
    </row>
    <row r="20" spans="1:12" s="17" customFormat="1" ht="15.75">
      <c r="A20" s="26"/>
      <c r="B20" s="21"/>
      <c r="C20" s="30"/>
      <c r="D20" s="39" t="s">
        <v>107</v>
      </c>
      <c r="E20" s="43"/>
      <c r="F20" s="101">
        <v>1002</v>
      </c>
      <c r="G20" s="44"/>
      <c r="H20" s="40">
        <v>1002</v>
      </c>
      <c r="I20" s="26"/>
      <c r="J20" s="19"/>
      <c r="L20" s="19"/>
    </row>
    <row r="21" spans="1:12" s="17" customFormat="1" ht="16.5">
      <c r="A21" s="26"/>
      <c r="B21" s="21">
        <f>SUM(B11:B19)</f>
        <v>23383493</v>
      </c>
      <c r="C21" s="21">
        <f>SUM(C11:C19)</f>
        <v>1034212965</v>
      </c>
      <c r="D21" s="39"/>
      <c r="E21" s="39"/>
      <c r="F21" s="78">
        <f>SUM(F11:F20)</f>
        <v>610579.0580000001</v>
      </c>
      <c r="G21" s="77" t="s">
        <v>13</v>
      </c>
      <c r="H21" s="78">
        <f>SUM(H11:H20)</f>
        <v>741339</v>
      </c>
      <c r="I21" s="26"/>
      <c r="J21" s="20"/>
      <c r="L21" s="20"/>
    </row>
    <row r="22" spans="1:9" s="17" customFormat="1" ht="15.75">
      <c r="A22" s="26"/>
      <c r="B22" s="21"/>
      <c r="C22" s="21"/>
      <c r="D22" s="39"/>
      <c r="E22" s="39"/>
      <c r="F22" s="99"/>
      <c r="G22" s="39"/>
      <c r="H22" s="40"/>
      <c r="I22" s="26"/>
    </row>
    <row r="23" spans="1:9" s="17" customFormat="1" ht="15.75">
      <c r="A23" s="26"/>
      <c r="B23" s="21"/>
      <c r="C23" s="30"/>
      <c r="D23" s="31" t="s">
        <v>59</v>
      </c>
      <c r="E23" s="39"/>
      <c r="F23" s="99"/>
      <c r="G23" s="39"/>
      <c r="H23" s="40"/>
      <c r="I23" s="26"/>
    </row>
    <row r="24" spans="1:12" s="17" customFormat="1" ht="15.75">
      <c r="A24" s="26"/>
      <c r="B24" s="21">
        <v>0</v>
      </c>
      <c r="C24" s="30">
        <v>61911368</v>
      </c>
      <c r="D24" s="39" t="s">
        <v>26</v>
      </c>
      <c r="E24" s="39"/>
      <c r="F24" s="100">
        <f>56551217/1000</f>
        <v>56551.217</v>
      </c>
      <c r="G24" s="42"/>
      <c r="H24" s="40">
        <v>100176</v>
      </c>
      <c r="I24" s="26"/>
      <c r="J24" s="19"/>
      <c r="L24" s="19"/>
    </row>
    <row r="25" spans="1:12" s="17" customFormat="1" ht="15.75">
      <c r="A25" s="26"/>
      <c r="B25" s="21">
        <v>19106331</v>
      </c>
      <c r="C25" s="30">
        <v>732874000</v>
      </c>
      <c r="D25" s="39" t="s">
        <v>93</v>
      </c>
      <c r="E25" s="39"/>
      <c r="F25" s="100">
        <f>368960619/1000</f>
        <v>368960.619</v>
      </c>
      <c r="G25" s="13"/>
      <c r="H25" s="40">
        <v>349683</v>
      </c>
      <c r="I25" s="26"/>
      <c r="J25" s="19"/>
      <c r="L25" s="19"/>
    </row>
    <row r="26" spans="1:12" s="17" customFormat="1" ht="15.75">
      <c r="A26" s="26"/>
      <c r="B26" s="21">
        <f>21418604-B25-B27-B28+580392</f>
        <v>798200</v>
      </c>
      <c r="C26" s="30">
        <f>987230000-C24-C25-C27-C28</f>
        <v>159617618</v>
      </c>
      <c r="D26" s="39" t="s">
        <v>27</v>
      </c>
      <c r="E26" s="43"/>
      <c r="F26" s="101">
        <f>+(633424394/1000)-F24-F25-F27-F28+1</f>
        <v>145111.99300000002</v>
      </c>
      <c r="G26" s="44"/>
      <c r="H26" s="67">
        <f>95234+12467+34210+6999</f>
        <v>148910</v>
      </c>
      <c r="I26" s="26"/>
      <c r="J26" s="19"/>
      <c r="L26" s="19"/>
    </row>
    <row r="27" spans="1:12" s="17" customFormat="1" ht="15.75">
      <c r="A27" s="26"/>
      <c r="B27" s="21">
        <v>1912510</v>
      </c>
      <c r="C27" s="30">
        <v>6208263</v>
      </c>
      <c r="D27" s="39" t="s">
        <v>28</v>
      </c>
      <c r="E27" s="39"/>
      <c r="F27" s="100">
        <f>3249726/1000</f>
        <v>3249.726</v>
      </c>
      <c r="G27" s="45"/>
      <c r="H27" s="67">
        <v>4612</v>
      </c>
      <c r="I27" s="26"/>
      <c r="J27" s="19"/>
      <c r="L27" s="19"/>
    </row>
    <row r="28" spans="1:12" s="17" customFormat="1" ht="15.75">
      <c r="A28" s="26"/>
      <c r="B28" s="21">
        <v>181955</v>
      </c>
      <c r="C28" s="33">
        <f>13184867+13433884</f>
        <v>26618751</v>
      </c>
      <c r="D28" s="39" t="s">
        <v>96</v>
      </c>
      <c r="E28" s="39"/>
      <c r="F28" s="100">
        <f>+(44177937+15373902)/1000</f>
        <v>59551.839</v>
      </c>
      <c r="G28" s="13"/>
      <c r="H28" s="67">
        <v>89173</v>
      </c>
      <c r="I28" s="26"/>
      <c r="J28" s="19"/>
      <c r="L28" s="19"/>
    </row>
    <row r="29" spans="1:12" s="17" customFormat="1" ht="16.5">
      <c r="A29" s="26"/>
      <c r="B29" s="21">
        <f>SUM(B24:B28)</f>
        <v>21998996</v>
      </c>
      <c r="C29" s="21">
        <f>SUM(C24:C28)</f>
        <v>987230000</v>
      </c>
      <c r="D29" s="39"/>
      <c r="E29" s="39"/>
      <c r="F29" s="87">
        <f>SUM(F24:F28)</f>
        <v>633425.3940000001</v>
      </c>
      <c r="G29" s="77"/>
      <c r="H29" s="79">
        <f>SUM(H24:H28)</f>
        <v>692554</v>
      </c>
      <c r="I29" s="26"/>
      <c r="J29" s="20"/>
      <c r="L29" s="20"/>
    </row>
    <row r="30" spans="1:9" s="17" customFormat="1" ht="15.75">
      <c r="A30" s="26"/>
      <c r="B30" s="21"/>
      <c r="C30" s="21"/>
      <c r="D30" s="39" t="s">
        <v>102</v>
      </c>
      <c r="E30" s="39"/>
      <c r="F30" s="99"/>
      <c r="G30" s="39"/>
      <c r="H30" s="67"/>
      <c r="I30" s="26"/>
    </row>
    <row r="31" spans="1:10" s="17" customFormat="1" ht="15.75">
      <c r="A31" s="26"/>
      <c r="B31" s="21"/>
      <c r="C31" s="21"/>
      <c r="D31" s="39" t="s">
        <v>103</v>
      </c>
      <c r="E31" s="39"/>
      <c r="F31" s="100">
        <v>0</v>
      </c>
      <c r="G31" s="39"/>
      <c r="H31" s="67">
        <v>194527</v>
      </c>
      <c r="I31" s="26"/>
      <c r="J31" s="19"/>
    </row>
    <row r="32" spans="1:9" s="17" customFormat="1" ht="16.5">
      <c r="A32" s="26"/>
      <c r="B32" s="21"/>
      <c r="C32" s="21"/>
      <c r="D32" s="39"/>
      <c r="E32" s="39"/>
      <c r="F32" s="81">
        <f>SUM(F29:F31)</f>
        <v>633425.3940000001</v>
      </c>
      <c r="G32" s="27"/>
      <c r="H32" s="81">
        <f>SUM(H29:H31)</f>
        <v>887081</v>
      </c>
      <c r="I32" s="26" t="s">
        <v>13</v>
      </c>
    </row>
    <row r="33" spans="1:9" s="17" customFormat="1" ht="15.75">
      <c r="A33" s="26"/>
      <c r="B33" s="21"/>
      <c r="C33" s="21"/>
      <c r="D33" s="39"/>
      <c r="E33" s="39"/>
      <c r="F33" s="99"/>
      <c r="G33" s="39"/>
      <c r="H33" s="67"/>
      <c r="I33" s="26"/>
    </row>
    <row r="34" spans="1:9" s="17" customFormat="1" ht="17.25" thickBot="1">
      <c r="A34" s="26"/>
      <c r="B34" s="21"/>
      <c r="C34" s="21"/>
      <c r="D34" s="31" t="s">
        <v>108</v>
      </c>
      <c r="E34" s="39"/>
      <c r="F34" s="113">
        <f>+F21+F32</f>
        <v>1244004.452</v>
      </c>
      <c r="G34" s="39" t="s">
        <v>13</v>
      </c>
      <c r="H34" s="113">
        <f>+H21+H32</f>
        <v>1628420</v>
      </c>
      <c r="I34" s="26"/>
    </row>
    <row r="35" spans="1:9" s="17" customFormat="1" ht="16.5" thickTop="1">
      <c r="A35" s="26"/>
      <c r="B35" s="21"/>
      <c r="C35" s="21"/>
      <c r="D35" s="39"/>
      <c r="E35" s="39"/>
      <c r="F35" s="99"/>
      <c r="G35" s="39"/>
      <c r="H35" s="67"/>
      <c r="I35" s="26"/>
    </row>
    <row r="36" spans="1:9" s="17" customFormat="1" ht="15.75">
      <c r="A36" s="26"/>
      <c r="B36" s="21"/>
      <c r="C36" s="21"/>
      <c r="D36" s="45"/>
      <c r="E36" s="39"/>
      <c r="F36" s="99"/>
      <c r="G36" s="39"/>
      <c r="H36" s="67"/>
      <c r="I36" s="26"/>
    </row>
    <row r="37" spans="1:9" s="17" customFormat="1" ht="15.75">
      <c r="A37" s="26"/>
      <c r="B37" s="21"/>
      <c r="C37" s="21"/>
      <c r="D37" s="31" t="s">
        <v>109</v>
      </c>
      <c r="E37" s="39"/>
      <c r="F37" s="99"/>
      <c r="G37" s="39"/>
      <c r="H37" s="67"/>
      <c r="I37" s="26"/>
    </row>
    <row r="38" spans="1:12" s="17" customFormat="1" ht="15.75">
      <c r="A38" s="26"/>
      <c r="B38" s="21">
        <v>450000000</v>
      </c>
      <c r="C38" s="30">
        <v>450000000</v>
      </c>
      <c r="D38" s="39" t="s">
        <v>29</v>
      </c>
      <c r="E38" s="39"/>
      <c r="F38" s="91">
        <v>450000</v>
      </c>
      <c r="G38" s="13"/>
      <c r="H38" s="67">
        <v>450000</v>
      </c>
      <c r="I38" s="26"/>
      <c r="J38" s="19"/>
      <c r="L38" s="19"/>
    </row>
    <row r="39" spans="1:12" s="17" customFormat="1" ht="15.75">
      <c r="A39" s="26"/>
      <c r="B39" s="21">
        <v>306112410</v>
      </c>
      <c r="C39" s="30">
        <v>306112410</v>
      </c>
      <c r="D39" s="39" t="s">
        <v>30</v>
      </c>
      <c r="E39" s="39"/>
      <c r="F39" s="91">
        <f>306112410/1000</f>
        <v>306112.41</v>
      </c>
      <c r="G39" s="13"/>
      <c r="H39" s="67">
        <v>306112</v>
      </c>
      <c r="I39" s="26"/>
      <c r="J39" s="19"/>
      <c r="L39" s="19"/>
    </row>
    <row r="40" spans="1:12" s="17" customFormat="1" ht="15.75">
      <c r="A40" s="26"/>
      <c r="B40" s="21">
        <f>-2124357+580392</f>
        <v>-1543965</v>
      </c>
      <c r="C40" s="21">
        <v>-37907603</v>
      </c>
      <c r="D40" s="39" t="s">
        <v>61</v>
      </c>
      <c r="E40" s="39"/>
      <c r="F40" s="91">
        <f>-309495482/1000</f>
        <v>-309495.482</v>
      </c>
      <c r="G40" s="13"/>
      <c r="H40" s="67">
        <v>-327049</v>
      </c>
      <c r="I40" s="26"/>
      <c r="J40" s="20">
        <f>+F40-H40</f>
        <v>17553.517999999982</v>
      </c>
      <c r="L40" s="19"/>
    </row>
    <row r="41" spans="1:12" s="17" customFormat="1" ht="16.5">
      <c r="A41" s="26"/>
      <c r="B41" s="34">
        <f>SUM(B38:B40)</f>
        <v>754568445</v>
      </c>
      <c r="C41" s="34">
        <f>SUM(C38:C40)</f>
        <v>718204807</v>
      </c>
      <c r="D41" s="31"/>
      <c r="E41" s="39"/>
      <c r="F41" s="87">
        <f>SUM(F38:F40)</f>
        <v>446616.9279999999</v>
      </c>
      <c r="G41" s="77"/>
      <c r="H41" s="87">
        <f>SUM(H38:H40)</f>
        <v>429063</v>
      </c>
      <c r="I41" s="26"/>
      <c r="J41" s="22"/>
      <c r="L41" s="22"/>
    </row>
    <row r="42" spans="1:12" s="17" customFormat="1" ht="15.75">
      <c r="A42" s="26"/>
      <c r="B42" s="21">
        <v>0</v>
      </c>
      <c r="C42" s="21">
        <v>50777729</v>
      </c>
      <c r="D42" s="39" t="s">
        <v>20</v>
      </c>
      <c r="E42" s="39"/>
      <c r="F42" s="103">
        <f>47569908/1000</f>
        <v>47569.908</v>
      </c>
      <c r="G42" s="40"/>
      <c r="H42" s="67">
        <v>46396</v>
      </c>
      <c r="I42" s="35"/>
      <c r="J42" s="20">
        <f>+F42-H42</f>
        <v>1173.908000000003</v>
      </c>
      <c r="L42" s="19"/>
    </row>
    <row r="43" spans="1:12" s="17" customFormat="1" ht="18" customHeight="1">
      <c r="A43" s="26"/>
      <c r="B43" s="32">
        <f>+B41+B42</f>
        <v>754568445</v>
      </c>
      <c r="C43" s="32">
        <f>+C41+C42</f>
        <v>768982536</v>
      </c>
      <c r="D43" s="58" t="s">
        <v>31</v>
      </c>
      <c r="E43" s="39"/>
      <c r="F43" s="84">
        <f>+F41+F42</f>
        <v>494186.8359999999</v>
      </c>
      <c r="G43" s="77"/>
      <c r="H43" s="78">
        <f>+H41+H42</f>
        <v>475459</v>
      </c>
      <c r="I43" s="26"/>
      <c r="J43" s="23" t="s">
        <v>13</v>
      </c>
      <c r="L43" s="23"/>
    </row>
    <row r="44" spans="1:12" s="17" customFormat="1" ht="15.75">
      <c r="A44" s="26"/>
      <c r="B44" s="21"/>
      <c r="C44" s="21"/>
      <c r="D44" s="39"/>
      <c r="E44" s="39"/>
      <c r="F44" s="99"/>
      <c r="G44" s="39"/>
      <c r="H44" s="40"/>
      <c r="I44" s="26"/>
      <c r="J44" s="19"/>
      <c r="L44" s="19"/>
    </row>
    <row r="45" spans="1:10" s="17" customFormat="1" ht="15.75">
      <c r="A45" s="26"/>
      <c r="B45" s="21"/>
      <c r="C45" s="30"/>
      <c r="D45" s="31" t="s">
        <v>32</v>
      </c>
      <c r="E45" s="39"/>
      <c r="F45" s="99"/>
      <c r="G45" s="39"/>
      <c r="H45" s="40"/>
      <c r="I45" s="26"/>
      <c r="J45" s="19"/>
    </row>
    <row r="46" spans="1:12" s="17" customFormat="1" ht="15.75">
      <c r="A46" s="26"/>
      <c r="B46" s="21">
        <f>-77536-428054</f>
        <v>-505590</v>
      </c>
      <c r="C46" s="30">
        <f>-289707-428054-16839818</f>
        <v>-17557579</v>
      </c>
      <c r="D46" s="39" t="s">
        <v>85</v>
      </c>
      <c r="E46" s="39"/>
      <c r="F46" s="100">
        <f>+(178103890+38946)/1000</f>
        <v>178142.836</v>
      </c>
      <c r="G46" s="13"/>
      <c r="H46" s="40">
        <v>218809</v>
      </c>
      <c r="I46" s="26"/>
      <c r="J46" s="19"/>
      <c r="L46" s="19"/>
    </row>
    <row r="47" spans="1:12" s="17" customFormat="1" ht="15.75">
      <c r="A47" s="26"/>
      <c r="B47" s="21">
        <v>0</v>
      </c>
      <c r="C47" s="30">
        <v>-193469474</v>
      </c>
      <c r="D47" s="39" t="s">
        <v>33</v>
      </c>
      <c r="E47" s="39"/>
      <c r="F47" s="100">
        <f>+(37546603+1716135+22080)/1000</f>
        <v>39284.818</v>
      </c>
      <c r="G47" s="42"/>
      <c r="H47" s="40">
        <f>38069+4314</f>
        <v>42383</v>
      </c>
      <c r="I47" s="26"/>
      <c r="J47" s="19"/>
      <c r="L47" s="19"/>
    </row>
    <row r="48" spans="1:12" s="17" customFormat="1" ht="15.75">
      <c r="A48" s="26"/>
      <c r="B48" s="21">
        <v>0</v>
      </c>
      <c r="C48" s="30">
        <v>-15137178</v>
      </c>
      <c r="D48" s="39" t="s">
        <v>62</v>
      </c>
      <c r="E48" s="39"/>
      <c r="F48" s="100">
        <v>0</v>
      </c>
      <c r="G48" s="42"/>
      <c r="H48" s="40">
        <v>194</v>
      </c>
      <c r="I48" s="26"/>
      <c r="J48" s="19"/>
      <c r="L48" s="19"/>
    </row>
    <row r="49" spans="1:12" s="17" customFormat="1" ht="15.75">
      <c r="A49" s="26"/>
      <c r="B49" s="21">
        <v>0</v>
      </c>
      <c r="C49" s="30">
        <v>-72525129</v>
      </c>
      <c r="D49" s="39" t="s">
        <v>34</v>
      </c>
      <c r="E49" s="39"/>
      <c r="F49" s="100">
        <f>42233715/1000</f>
        <v>42233.715</v>
      </c>
      <c r="G49" s="42"/>
      <c r="H49" s="40">
        <v>42520</v>
      </c>
      <c r="I49" s="26"/>
      <c r="J49" s="19"/>
      <c r="L49" s="19"/>
    </row>
    <row r="50" spans="1:12" s="17" customFormat="1" ht="16.5">
      <c r="A50" s="26"/>
      <c r="B50" s="21">
        <f>SUM(B46:B49)</f>
        <v>-505590</v>
      </c>
      <c r="C50" s="21">
        <f>SUM(C46:C49)</f>
        <v>-298689360</v>
      </c>
      <c r="D50" s="31"/>
      <c r="E50" s="39"/>
      <c r="F50" s="84">
        <f>SUM(F45:F49)</f>
        <v>259661.369</v>
      </c>
      <c r="G50" s="77"/>
      <c r="H50" s="78">
        <f>SUM(H45:H49)</f>
        <v>303906</v>
      </c>
      <c r="I50" s="26"/>
      <c r="J50" s="20"/>
      <c r="L50" s="20"/>
    </row>
    <row r="51" spans="1:12" s="17" customFormat="1" ht="15.75">
      <c r="A51" s="26"/>
      <c r="B51" s="21"/>
      <c r="C51" s="34"/>
      <c r="D51" s="60"/>
      <c r="E51" s="39"/>
      <c r="F51" s="99"/>
      <c r="G51" s="39"/>
      <c r="H51" s="40"/>
      <c r="I51" s="26"/>
      <c r="L51" s="19"/>
    </row>
    <row r="52" spans="1:9" ht="15.75">
      <c r="A52" s="26"/>
      <c r="B52" s="26"/>
      <c r="C52" s="26"/>
      <c r="D52" s="31" t="s">
        <v>60</v>
      </c>
      <c r="E52" s="39"/>
      <c r="F52" s="99"/>
      <c r="G52" s="39"/>
      <c r="H52" s="67"/>
      <c r="I52" s="26"/>
    </row>
    <row r="53" spans="1:9" ht="15.75">
      <c r="A53" s="26"/>
      <c r="B53" s="26"/>
      <c r="C53" s="26"/>
      <c r="D53" s="39" t="s">
        <v>35</v>
      </c>
      <c r="E53" s="43"/>
      <c r="F53" s="102">
        <f>+(490155450/1000)-F54-F55</f>
        <v>369946.463</v>
      </c>
      <c r="G53" s="44"/>
      <c r="H53" s="67">
        <f>75619+326008+128971+45+187805+246</f>
        <v>718694</v>
      </c>
      <c r="I53" s="26"/>
    </row>
    <row r="54" spans="1:9" ht="15.75">
      <c r="A54" s="26"/>
      <c r="B54" s="26"/>
      <c r="C54" s="26"/>
      <c r="D54" s="39" t="s">
        <v>84</v>
      </c>
      <c r="E54" s="39"/>
      <c r="F54" s="91">
        <f>+(86154+51741245+20000000+36844264)/1000</f>
        <v>108671.663</v>
      </c>
      <c r="G54" s="13"/>
      <c r="H54" s="67">
        <v>88686</v>
      </c>
      <c r="I54" s="26"/>
    </row>
    <row r="55" spans="1:9" ht="15.75">
      <c r="A55" s="26"/>
      <c r="B55" s="26"/>
      <c r="C55" s="26"/>
      <c r="D55" s="39" t="s">
        <v>36</v>
      </c>
      <c r="E55" s="39"/>
      <c r="F55" s="76">
        <f>11537324/1000</f>
        <v>11537.324</v>
      </c>
      <c r="G55" s="13"/>
      <c r="H55" s="82">
        <v>4851</v>
      </c>
      <c r="I55" s="26"/>
    </row>
    <row r="56" spans="1:9" ht="16.5">
      <c r="A56" s="26"/>
      <c r="B56" s="26"/>
      <c r="C56" s="26"/>
      <c r="D56" s="39"/>
      <c r="E56" s="39"/>
      <c r="F56" s="93">
        <f>SUM(F53:F55)</f>
        <v>490155.45</v>
      </c>
      <c r="G56" s="13"/>
      <c r="H56" s="83">
        <f>SUM(H53:H55)</f>
        <v>812231</v>
      </c>
      <c r="I56" s="26"/>
    </row>
    <row r="57" spans="1:9" ht="15.75">
      <c r="A57" s="26"/>
      <c r="B57" s="26"/>
      <c r="C57" s="26"/>
      <c r="D57" s="39" t="s">
        <v>104</v>
      </c>
      <c r="E57" s="39"/>
      <c r="F57" s="91"/>
      <c r="G57" s="13"/>
      <c r="H57" s="67"/>
      <c r="I57" s="26"/>
    </row>
    <row r="58" spans="1:10" ht="15.75">
      <c r="A58" s="26"/>
      <c r="B58" s="26"/>
      <c r="C58" s="26"/>
      <c r="D58" s="39" t="s">
        <v>103</v>
      </c>
      <c r="E58" s="39"/>
      <c r="F58" s="91">
        <v>0</v>
      </c>
      <c r="G58" s="13"/>
      <c r="H58" s="67">
        <v>36824</v>
      </c>
      <c r="I58" s="26"/>
      <c r="J58" s="114"/>
    </row>
    <row r="59" spans="1:9" ht="16.5">
      <c r="A59" s="26"/>
      <c r="B59" s="26"/>
      <c r="C59" s="26"/>
      <c r="D59" s="36"/>
      <c r="E59" s="39"/>
      <c r="F59" s="84">
        <f>SUM(F56:F58)</f>
        <v>490155.45</v>
      </c>
      <c r="G59" s="77"/>
      <c r="H59" s="84">
        <f>SUM(H56:H58)</f>
        <v>849055</v>
      </c>
      <c r="I59" s="26"/>
    </row>
    <row r="60" spans="1:9" ht="16.5">
      <c r="A60" s="26"/>
      <c r="B60" s="26"/>
      <c r="C60" s="26"/>
      <c r="D60" s="31" t="s">
        <v>111</v>
      </c>
      <c r="E60" s="39"/>
      <c r="F60" s="118">
        <f>+F50+F59</f>
        <v>749816.819</v>
      </c>
      <c r="G60" s="27"/>
      <c r="H60" s="118">
        <f>+H50+H59</f>
        <v>1152961</v>
      </c>
      <c r="I60" s="26"/>
    </row>
    <row r="61" spans="1:9" ht="4.5" customHeight="1">
      <c r="A61" s="26"/>
      <c r="B61" s="26"/>
      <c r="C61" s="26"/>
      <c r="D61" s="39"/>
      <c r="E61" s="39"/>
      <c r="F61" s="115"/>
      <c r="G61" s="27"/>
      <c r="H61" s="116"/>
      <c r="I61" s="26"/>
    </row>
    <row r="62" spans="1:9" ht="17.25" thickBot="1">
      <c r="A62" s="26"/>
      <c r="B62" s="26"/>
      <c r="C62" s="26"/>
      <c r="D62" s="31" t="s">
        <v>110</v>
      </c>
      <c r="E62" s="39"/>
      <c r="F62" s="117">
        <f>+F43+F60</f>
        <v>1244003.6549999998</v>
      </c>
      <c r="G62" s="27"/>
      <c r="H62" s="117">
        <f>+H43+H60</f>
        <v>1628420</v>
      </c>
      <c r="I62" s="26"/>
    </row>
    <row r="63" spans="1:9" ht="16.5" thickTop="1">
      <c r="A63" s="26"/>
      <c r="B63" s="26"/>
      <c r="C63" s="26"/>
      <c r="D63" s="39"/>
      <c r="E63" s="39"/>
      <c r="F63" s="99"/>
      <c r="G63" s="39"/>
      <c r="H63" s="40"/>
      <c r="I63" s="26"/>
    </row>
    <row r="64" spans="1:9" ht="15.75" hidden="1">
      <c r="A64" s="26"/>
      <c r="B64" s="26"/>
      <c r="C64" s="26"/>
      <c r="D64" s="39" t="s">
        <v>130</v>
      </c>
      <c r="E64" s="39"/>
      <c r="F64" s="136">
        <f>+F43/F38</f>
        <v>1.0981929688888887</v>
      </c>
      <c r="G64" s="39"/>
      <c r="H64" s="136">
        <f>+H43/H38</f>
        <v>1.0565755555555556</v>
      </c>
      <c r="I64" s="26" t="s">
        <v>13</v>
      </c>
    </row>
    <row r="65" spans="1:9" ht="15.75" hidden="1">
      <c r="A65" s="26"/>
      <c r="B65" s="26"/>
      <c r="C65" s="26"/>
      <c r="D65" s="39"/>
      <c r="E65" s="39"/>
      <c r="F65" s="99"/>
      <c r="G65" s="39"/>
      <c r="H65" s="40"/>
      <c r="I65" s="26"/>
    </row>
    <row r="66" spans="1:12" s="130" customFormat="1" ht="15.75">
      <c r="A66" s="124"/>
      <c r="B66" s="124"/>
      <c r="C66" s="124"/>
      <c r="D66" s="88" t="s">
        <v>86</v>
      </c>
      <c r="E66" s="126"/>
      <c r="F66" s="147"/>
      <c r="G66" s="126"/>
      <c r="H66" s="67"/>
      <c r="I66" s="124"/>
      <c r="J66" s="129"/>
      <c r="K66" s="129"/>
      <c r="L66" s="129"/>
    </row>
    <row r="67" spans="1:12" s="130" customFormat="1" ht="15.75">
      <c r="A67" s="124"/>
      <c r="B67" s="124"/>
      <c r="C67" s="124"/>
      <c r="D67" s="88" t="s">
        <v>116</v>
      </c>
      <c r="E67" s="126"/>
      <c r="F67" s="147"/>
      <c r="G67" s="126"/>
      <c r="H67" s="67"/>
      <c r="I67" s="124"/>
      <c r="J67" s="129"/>
      <c r="K67" s="129"/>
      <c r="L67" s="129"/>
    </row>
    <row r="68" spans="1:9" ht="15.75">
      <c r="A68" s="26"/>
      <c r="B68" s="26"/>
      <c r="C68" s="26"/>
      <c r="D68" s="39"/>
      <c r="E68" s="39"/>
      <c r="F68" s="99"/>
      <c r="G68" s="39"/>
      <c r="H68" s="40"/>
      <c r="I68" s="26"/>
    </row>
    <row r="69" spans="1:9" ht="15.75">
      <c r="A69" s="26"/>
      <c r="B69" s="26"/>
      <c r="C69" s="26"/>
      <c r="D69" s="39"/>
      <c r="E69" s="39"/>
      <c r="F69" s="99"/>
      <c r="G69" s="39"/>
      <c r="H69" s="40"/>
      <c r="I69" s="26"/>
    </row>
    <row r="70" spans="1:9" ht="15.75">
      <c r="A70" s="26"/>
      <c r="B70" s="26"/>
      <c r="C70" s="26"/>
      <c r="D70" s="39"/>
      <c r="E70" s="39"/>
      <c r="F70" s="99"/>
      <c r="G70" s="39"/>
      <c r="H70" s="40"/>
      <c r="I70" s="26"/>
    </row>
    <row r="71" spans="1:9" ht="15.75">
      <c r="A71" s="26"/>
      <c r="B71" s="35" t="e">
        <f>+#REF!-B43</f>
        <v>#REF!</v>
      </c>
      <c r="C71" s="35" t="e">
        <f>+#REF!-C43</f>
        <v>#REF!</v>
      </c>
      <c r="D71" s="39"/>
      <c r="E71" s="39"/>
      <c r="F71" s="104">
        <f>+F34-F62</f>
        <v>0.7970000002533197</v>
      </c>
      <c r="G71" s="46"/>
      <c r="H71" s="104">
        <f>+H34-H62</f>
        <v>0</v>
      </c>
      <c r="I71" s="26" t="s">
        <v>13</v>
      </c>
    </row>
    <row r="72" spans="1:9" ht="15.75">
      <c r="A72" s="26"/>
      <c r="B72" s="26"/>
      <c r="C72" s="26"/>
      <c r="D72" s="47" t="s">
        <v>13</v>
      </c>
      <c r="E72" s="47"/>
      <c r="F72" s="105" t="s">
        <v>13</v>
      </c>
      <c r="G72" s="47"/>
      <c r="H72" s="48"/>
      <c r="I72" s="26"/>
    </row>
    <row r="73" spans="1:9" ht="15.75">
      <c r="A73" s="26"/>
      <c r="B73" s="26"/>
      <c r="C73" s="26"/>
      <c r="D73" s="49" t="s">
        <v>13</v>
      </c>
      <c r="E73" s="49"/>
      <c r="F73" s="106">
        <f>+F43/F38</f>
        <v>1.0981929688888887</v>
      </c>
      <c r="G73" s="69"/>
      <c r="H73" s="69">
        <f>+H43/H38</f>
        <v>1.0565755555555556</v>
      </c>
      <c r="I73" s="26"/>
    </row>
    <row r="74" spans="1:9" ht="15.75">
      <c r="A74" s="26"/>
      <c r="B74" s="26"/>
      <c r="C74" s="26"/>
      <c r="D74" s="49"/>
      <c r="E74" s="49"/>
      <c r="F74" s="107" t="s">
        <v>13</v>
      </c>
      <c r="G74" s="49"/>
      <c r="H74" s="49"/>
      <c r="I74" s="26"/>
    </row>
    <row r="75" spans="1:9" ht="15.75">
      <c r="A75" s="26"/>
      <c r="B75" s="26"/>
      <c r="C75" s="26"/>
      <c r="D75" s="47"/>
      <c r="E75" s="47"/>
      <c r="F75" s="110">
        <f>+F41/F38</f>
        <v>0.992482062222222</v>
      </c>
      <c r="G75" s="47"/>
      <c r="H75" s="110">
        <f>+H41/H38</f>
        <v>0.9534733333333333</v>
      </c>
      <c r="I75" s="26"/>
    </row>
    <row r="76" spans="1:9" ht="15.75">
      <c r="A76" s="26"/>
      <c r="B76" s="35"/>
      <c r="C76" s="35"/>
      <c r="D76" s="51"/>
      <c r="E76" s="47"/>
      <c r="F76" s="104"/>
      <c r="G76" s="46"/>
      <c r="H76" s="46"/>
      <c r="I76" s="26"/>
    </row>
    <row r="77" spans="1:9" ht="15.75">
      <c r="A77" s="26"/>
      <c r="B77" s="37"/>
      <c r="C77" s="37"/>
      <c r="D77" s="51" t="s">
        <v>120</v>
      </c>
      <c r="E77" s="47"/>
      <c r="F77" s="141">
        <f>+(F34-F60)/F38</f>
        <v>1.09819474</v>
      </c>
      <c r="G77" s="142"/>
      <c r="H77" s="141">
        <f>+(H34-H60)/H38</f>
        <v>1.0565755555555556</v>
      </c>
      <c r="I77" s="26"/>
    </row>
    <row r="78" spans="1:9" ht="15.75">
      <c r="A78" s="26"/>
      <c r="B78" s="26"/>
      <c r="C78" s="26"/>
      <c r="D78" s="47"/>
      <c r="E78" s="47"/>
      <c r="F78" s="110"/>
      <c r="G78" s="133"/>
      <c r="H78" s="133"/>
      <c r="I78" s="26"/>
    </row>
    <row r="79" spans="1:9" ht="15.75">
      <c r="A79" s="26"/>
      <c r="B79" s="26"/>
      <c r="C79" s="26"/>
      <c r="D79" s="51" t="s">
        <v>120</v>
      </c>
      <c r="E79" s="47"/>
      <c r="F79" s="110">
        <f>+F43/F38</f>
        <v>1.0981929688888887</v>
      </c>
      <c r="G79" s="133"/>
      <c r="H79" s="110">
        <f>+H43/H38</f>
        <v>1.0565755555555556</v>
      </c>
      <c r="I79" s="26"/>
    </row>
    <row r="80" spans="1:10" ht="15.75">
      <c r="A80" s="26"/>
      <c r="B80" s="26"/>
      <c r="C80" s="26"/>
      <c r="D80" s="47"/>
      <c r="E80" s="47"/>
      <c r="F80" s="110"/>
      <c r="G80" s="133"/>
      <c r="H80" s="133" t="s">
        <v>13</v>
      </c>
      <c r="I80" s="26"/>
      <c r="J80" s="24"/>
    </row>
    <row r="81" spans="1:9" ht="15.75">
      <c r="A81" s="26"/>
      <c r="B81" s="26"/>
      <c r="C81" s="26"/>
      <c r="D81" s="163" t="s">
        <v>132</v>
      </c>
      <c r="E81" s="47"/>
      <c r="F81" s="110">
        <f>+F41/F38</f>
        <v>0.992482062222222</v>
      </c>
      <c r="G81" s="133"/>
      <c r="H81" s="110">
        <f>+H41/H38</f>
        <v>0.9534733333333333</v>
      </c>
      <c r="I81" s="26"/>
    </row>
    <row r="82" spans="1:9" ht="15.75">
      <c r="A82" s="26"/>
      <c r="B82" s="26"/>
      <c r="C82" s="26"/>
      <c r="D82" s="47"/>
      <c r="E82" s="47"/>
      <c r="F82" s="105"/>
      <c r="G82" s="47"/>
      <c r="H82" s="50"/>
      <c r="I82" s="26"/>
    </row>
    <row r="83" spans="1:9" ht="15.75">
      <c r="A83" s="26"/>
      <c r="B83" s="26"/>
      <c r="C83" s="26"/>
      <c r="D83" s="47"/>
      <c r="E83" s="47"/>
      <c r="F83" s="162">
        <f>+(F43-F15)/F38</f>
        <v>0.7655187622222219</v>
      </c>
      <c r="G83" s="47"/>
      <c r="H83" s="50"/>
      <c r="I83" s="26"/>
    </row>
    <row r="84" spans="1:9" ht="15.75">
      <c r="A84" s="26"/>
      <c r="B84" s="26"/>
      <c r="C84" s="26"/>
      <c r="D84" s="47"/>
      <c r="E84" s="47"/>
      <c r="F84" s="105"/>
      <c r="G84" s="47"/>
      <c r="H84" s="50"/>
      <c r="I84" s="26"/>
    </row>
    <row r="85" spans="1:9" ht="15.75">
      <c r="A85" s="26"/>
      <c r="B85" s="26"/>
      <c r="C85" s="26"/>
      <c r="D85" s="47"/>
      <c r="E85" s="47"/>
      <c r="F85" s="105"/>
      <c r="G85" s="47"/>
      <c r="H85" s="50"/>
      <c r="I85" s="26"/>
    </row>
    <row r="86" spans="1:9" ht="15.75">
      <c r="A86" s="26"/>
      <c r="B86" s="26"/>
      <c r="C86" s="26"/>
      <c r="D86" s="47"/>
      <c r="E86" s="47"/>
      <c r="F86" s="105"/>
      <c r="G86" s="47"/>
      <c r="H86" s="50"/>
      <c r="I86" s="26"/>
    </row>
    <row r="87" spans="1:9" ht="15.75">
      <c r="A87" s="26"/>
      <c r="B87" s="26"/>
      <c r="C87" s="26"/>
      <c r="D87" s="47"/>
      <c r="E87" s="47"/>
      <c r="F87" s="105"/>
      <c r="G87" s="47"/>
      <c r="H87" s="50"/>
      <c r="I87" s="26"/>
    </row>
    <row r="88" spans="1:9" ht="15.75">
      <c r="A88" s="26"/>
      <c r="B88" s="26"/>
      <c r="C88" s="26"/>
      <c r="D88" s="47"/>
      <c r="E88" s="47"/>
      <c r="F88" s="105"/>
      <c r="G88" s="47"/>
      <c r="H88" s="50"/>
      <c r="I88" s="26"/>
    </row>
    <row r="89" spans="1:9" ht="15.75">
      <c r="A89" s="26"/>
      <c r="B89" s="26"/>
      <c r="C89" s="26"/>
      <c r="D89" s="47"/>
      <c r="E89" s="47"/>
      <c r="F89" s="105"/>
      <c r="G89" s="47"/>
      <c r="H89" s="50"/>
      <c r="I89" s="26"/>
    </row>
    <row r="90" spans="1:9" ht="15.75">
      <c r="A90" s="26"/>
      <c r="B90" s="26"/>
      <c r="C90" s="26"/>
      <c r="D90" s="47"/>
      <c r="E90" s="47"/>
      <c r="F90" s="105"/>
      <c r="G90" s="47"/>
      <c r="H90" s="50"/>
      <c r="I90" s="26"/>
    </row>
    <row r="91" spans="1:9" ht="15.75">
      <c r="A91" s="26"/>
      <c r="B91" s="26"/>
      <c r="C91" s="26"/>
      <c r="D91" s="47"/>
      <c r="E91" s="47"/>
      <c r="F91" s="105"/>
      <c r="G91" s="47"/>
      <c r="H91" s="50"/>
      <c r="I91" s="26"/>
    </row>
    <row r="92" spans="1:9" ht="15.75">
      <c r="A92" s="26"/>
      <c r="B92" s="26"/>
      <c r="C92" s="26"/>
      <c r="D92" s="47"/>
      <c r="E92" s="47"/>
      <c r="F92" s="105"/>
      <c r="G92" s="47"/>
      <c r="H92" s="50"/>
      <c r="I92" s="26"/>
    </row>
    <row r="93" spans="1:9" ht="15.75">
      <c r="A93" s="26"/>
      <c r="B93" s="26"/>
      <c r="C93" s="26"/>
      <c r="D93" s="47"/>
      <c r="E93" s="47"/>
      <c r="F93" s="105"/>
      <c r="G93" s="47"/>
      <c r="H93" s="50"/>
      <c r="I93" s="26"/>
    </row>
    <row r="94" spans="1:9" ht="15.75">
      <c r="A94" s="26"/>
      <c r="B94" s="26"/>
      <c r="C94" s="26"/>
      <c r="D94" s="47"/>
      <c r="E94" s="47"/>
      <c r="F94" s="105"/>
      <c r="G94" s="47"/>
      <c r="H94" s="50"/>
      <c r="I94" s="26"/>
    </row>
    <row r="95" spans="1:9" ht="15.75">
      <c r="A95" s="26"/>
      <c r="B95" s="26"/>
      <c r="C95" s="26"/>
      <c r="D95" s="47"/>
      <c r="E95" s="47"/>
      <c r="F95" s="105"/>
      <c r="G95" s="47"/>
      <c r="H95" s="50"/>
      <c r="I95" s="26"/>
    </row>
    <row r="96" spans="1:9" ht="15.75">
      <c r="A96" s="26"/>
      <c r="B96" s="26"/>
      <c r="C96" s="26"/>
      <c r="D96" s="47"/>
      <c r="E96" s="47"/>
      <c r="F96" s="105"/>
      <c r="G96" s="47"/>
      <c r="H96" s="50"/>
      <c r="I96" s="26"/>
    </row>
    <row r="97" spans="1:9" ht="14.25">
      <c r="A97" s="17"/>
      <c r="B97" s="17"/>
      <c r="C97" s="17"/>
      <c r="D97" s="49"/>
      <c r="E97" s="49"/>
      <c r="F97" s="107"/>
      <c r="G97" s="49"/>
      <c r="H97" s="53"/>
      <c r="I97" s="17"/>
    </row>
    <row r="98" spans="1:9" ht="14.25">
      <c r="A98" s="17"/>
      <c r="B98" s="17"/>
      <c r="C98" s="17"/>
      <c r="D98" s="49"/>
      <c r="E98" s="49"/>
      <c r="F98" s="107"/>
      <c r="G98" s="49"/>
      <c r="H98" s="53"/>
      <c r="I98" s="17"/>
    </row>
    <row r="99" spans="4:8" ht="14.25">
      <c r="D99" s="54"/>
      <c r="E99" s="54"/>
      <c r="F99" s="108"/>
      <c r="G99" s="49"/>
      <c r="H99" s="55"/>
    </row>
    <row r="100" ht="12.75">
      <c r="H100" s="25"/>
    </row>
    <row r="101" ht="12.75">
      <c r="H101" s="25"/>
    </row>
    <row r="102" ht="12.75">
      <c r="H102" s="25"/>
    </row>
    <row r="103" ht="12.75">
      <c r="H103" s="25"/>
    </row>
    <row r="104" ht="12.75">
      <c r="H104" s="25"/>
    </row>
    <row r="105" ht="12.75">
      <c r="H105" s="25"/>
    </row>
    <row r="106" ht="12.75">
      <c r="H106" s="25"/>
    </row>
    <row r="107" ht="12.75">
      <c r="H107" s="25"/>
    </row>
    <row r="108" ht="12.75">
      <c r="H108" s="25"/>
    </row>
    <row r="109" ht="12.75">
      <c r="H109" s="25"/>
    </row>
    <row r="110" ht="12.75">
      <c r="H110" s="25"/>
    </row>
    <row r="111" ht="12.75">
      <c r="H111" s="25"/>
    </row>
    <row r="112" ht="12.75">
      <c r="H112" s="25"/>
    </row>
    <row r="113" ht="12.75">
      <c r="H113" s="25"/>
    </row>
    <row r="114" ht="12.75">
      <c r="H114" s="25"/>
    </row>
    <row r="115" ht="12.75">
      <c r="H115" s="25"/>
    </row>
    <row r="116" ht="12.75">
      <c r="H116" s="25"/>
    </row>
    <row r="117" ht="12.75">
      <c r="H117" s="25"/>
    </row>
    <row r="118" ht="12.75">
      <c r="H118" s="25"/>
    </row>
    <row r="119" ht="12.75">
      <c r="H119" s="25"/>
    </row>
    <row r="120" ht="12.75">
      <c r="H120" s="25"/>
    </row>
    <row r="121" ht="12.75">
      <c r="H121" s="25"/>
    </row>
    <row r="122" ht="12.75">
      <c r="H122" s="25"/>
    </row>
    <row r="123" ht="12.75">
      <c r="H123" s="25"/>
    </row>
    <row r="124" ht="12.75">
      <c r="H124" s="25"/>
    </row>
    <row r="125" ht="12.75">
      <c r="H125" s="25"/>
    </row>
    <row r="126" ht="12.75">
      <c r="H126" s="25"/>
    </row>
    <row r="127" ht="12.75">
      <c r="H127" s="25"/>
    </row>
    <row r="128" ht="12.75">
      <c r="H128" s="25"/>
    </row>
    <row r="129" ht="12.75">
      <c r="H129" s="25"/>
    </row>
    <row r="130" ht="12.75">
      <c r="H130" s="25"/>
    </row>
    <row r="131" ht="12.75">
      <c r="H131" s="25"/>
    </row>
    <row r="132" ht="12.75">
      <c r="H132" s="25"/>
    </row>
    <row r="133" ht="12.75">
      <c r="H133" s="25"/>
    </row>
    <row r="134" ht="12.75">
      <c r="H134" s="25"/>
    </row>
    <row r="135" ht="12.75">
      <c r="H135" s="25"/>
    </row>
    <row r="136" ht="12.75">
      <c r="H136" s="25"/>
    </row>
    <row r="137" ht="12.75">
      <c r="H137" s="25"/>
    </row>
    <row r="138" ht="12.75">
      <c r="H138" s="25"/>
    </row>
    <row r="139" ht="12.75">
      <c r="H139" s="25"/>
    </row>
    <row r="140" ht="12.75">
      <c r="H140" s="25"/>
    </row>
    <row r="141" ht="12.75">
      <c r="H141" s="25"/>
    </row>
    <row r="142" ht="12.75">
      <c r="H142" s="25"/>
    </row>
    <row r="143" ht="12.75">
      <c r="H143" s="25"/>
    </row>
    <row r="144" ht="12.75">
      <c r="H144" s="25"/>
    </row>
    <row r="145" ht="12.75">
      <c r="H145" s="25"/>
    </row>
    <row r="146" ht="12.75">
      <c r="H146" s="25"/>
    </row>
    <row r="147" ht="12.75">
      <c r="H147" s="25"/>
    </row>
    <row r="148" ht="12.75">
      <c r="H148" s="25"/>
    </row>
    <row r="149" ht="12.75">
      <c r="H149" s="25"/>
    </row>
    <row r="150" ht="12.75">
      <c r="H150" s="25"/>
    </row>
    <row r="151" ht="12.75">
      <c r="H151" s="25"/>
    </row>
    <row r="152" ht="12.75">
      <c r="H152" s="25"/>
    </row>
    <row r="153" ht="12.75">
      <c r="H153" s="25"/>
    </row>
    <row r="154" ht="12.75">
      <c r="H154" s="25"/>
    </row>
    <row r="155" ht="12.75">
      <c r="H155" s="25"/>
    </row>
    <row r="156" ht="12.75">
      <c r="H156" s="25"/>
    </row>
    <row r="157" ht="12.75">
      <c r="H157" s="25"/>
    </row>
    <row r="158" ht="12.75">
      <c r="H158" s="25"/>
    </row>
    <row r="159" ht="12.75">
      <c r="H159" s="25"/>
    </row>
    <row r="160" ht="12.75">
      <c r="H160" s="25"/>
    </row>
    <row r="161" ht="12.75"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  <row r="296" ht="12.75">
      <c r="H296" s="25"/>
    </row>
    <row r="297" ht="12.75">
      <c r="H297" s="25"/>
    </row>
    <row r="298" ht="12.75">
      <c r="H298" s="25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25"/>
    </row>
    <row r="309" ht="12.75">
      <c r="H309" s="25"/>
    </row>
    <row r="310" ht="12.75">
      <c r="H310" s="25"/>
    </row>
    <row r="311" ht="12.75">
      <c r="H311" s="25"/>
    </row>
    <row r="312" ht="12.75">
      <c r="H312" s="25"/>
    </row>
    <row r="313" ht="12.75">
      <c r="H313" s="25"/>
    </row>
    <row r="314" ht="12.75">
      <c r="H314" s="25"/>
    </row>
    <row r="315" ht="12.75">
      <c r="H315" s="25"/>
    </row>
    <row r="316" ht="12.75">
      <c r="H316" s="25"/>
    </row>
    <row r="317" ht="12.75">
      <c r="H317" s="25"/>
    </row>
    <row r="318" ht="12.75">
      <c r="H318" s="25"/>
    </row>
    <row r="319" ht="12.75">
      <c r="H319" s="25"/>
    </row>
    <row r="320" ht="12.75">
      <c r="H320" s="25"/>
    </row>
    <row r="321" ht="12.75">
      <c r="H321" s="25"/>
    </row>
    <row r="322" ht="12.75">
      <c r="H322" s="25"/>
    </row>
    <row r="323" ht="12.75">
      <c r="H323" s="25"/>
    </row>
    <row r="324" ht="12.75">
      <c r="H324" s="25"/>
    </row>
    <row r="325" ht="12.75">
      <c r="H325" s="25"/>
    </row>
    <row r="326" ht="12.75">
      <c r="H326" s="25"/>
    </row>
    <row r="327" ht="12.75">
      <c r="H327" s="25"/>
    </row>
    <row r="328" ht="12.75">
      <c r="H328" s="25"/>
    </row>
    <row r="329" ht="12.75">
      <c r="H329" s="25"/>
    </row>
    <row r="330" ht="12.75">
      <c r="H330" s="25"/>
    </row>
    <row r="331" ht="12.75">
      <c r="H331" s="25"/>
    </row>
    <row r="332" ht="12.75">
      <c r="H332" s="25"/>
    </row>
    <row r="333" ht="12.75">
      <c r="H333" s="25"/>
    </row>
    <row r="334" ht="12.75">
      <c r="H334" s="25"/>
    </row>
    <row r="335" ht="12.75">
      <c r="H335" s="25"/>
    </row>
    <row r="336" ht="12.75">
      <c r="H336" s="25"/>
    </row>
    <row r="337" ht="12.75">
      <c r="H337" s="25"/>
    </row>
    <row r="338" ht="12.75">
      <c r="H338" s="25"/>
    </row>
    <row r="339" ht="12.75">
      <c r="H339" s="25"/>
    </row>
    <row r="340" ht="12.75">
      <c r="H340" s="25"/>
    </row>
    <row r="341" ht="12.75">
      <c r="H341" s="25"/>
    </row>
    <row r="342" ht="12.75">
      <c r="H342" s="25"/>
    </row>
    <row r="343" ht="12.75">
      <c r="H343" s="25"/>
    </row>
    <row r="344" ht="12.75">
      <c r="H344" s="25"/>
    </row>
    <row r="345" ht="12.75">
      <c r="H345" s="25"/>
    </row>
    <row r="346" ht="12.75">
      <c r="H346" s="25"/>
    </row>
    <row r="347" ht="12.75">
      <c r="H347" s="25"/>
    </row>
    <row r="348" ht="12.75">
      <c r="H348" s="25"/>
    </row>
    <row r="349" ht="12.75">
      <c r="H349" s="25"/>
    </row>
    <row r="350" ht="12.75">
      <c r="H350" s="25"/>
    </row>
    <row r="351" ht="12.75">
      <c r="H351" s="25"/>
    </row>
    <row r="352" ht="12.75">
      <c r="H352" s="25"/>
    </row>
    <row r="353" ht="12.75">
      <c r="H353" s="25"/>
    </row>
    <row r="354" ht="12.75">
      <c r="H354" s="25"/>
    </row>
    <row r="355" ht="12.75">
      <c r="H355" s="25"/>
    </row>
    <row r="356" ht="12.75">
      <c r="H356" s="25"/>
    </row>
    <row r="357" ht="12.75">
      <c r="H357" s="25"/>
    </row>
    <row r="358" ht="12.75">
      <c r="H358" s="25"/>
    </row>
    <row r="359" ht="12.75">
      <c r="H359" s="25"/>
    </row>
    <row r="360" ht="12.75">
      <c r="H360" s="25"/>
    </row>
    <row r="361" ht="12.75">
      <c r="H361" s="25"/>
    </row>
    <row r="362" ht="12.75">
      <c r="H362" s="25"/>
    </row>
    <row r="363" ht="12.75">
      <c r="H363" s="25"/>
    </row>
    <row r="364" ht="12.75">
      <c r="H364" s="25"/>
    </row>
    <row r="365" ht="12.75">
      <c r="H365" s="25"/>
    </row>
    <row r="366" ht="12.75">
      <c r="H366" s="25"/>
    </row>
    <row r="367" ht="12.75">
      <c r="H367" s="25"/>
    </row>
    <row r="368" ht="12.75">
      <c r="H368" s="25"/>
    </row>
    <row r="369" ht="12.75">
      <c r="H369" s="25"/>
    </row>
    <row r="370" ht="12.75">
      <c r="H370" s="25"/>
    </row>
    <row r="371" ht="12.75">
      <c r="H371" s="25"/>
    </row>
    <row r="372" ht="12.75">
      <c r="H372" s="25"/>
    </row>
    <row r="373" ht="12.75">
      <c r="H373" s="25"/>
    </row>
    <row r="374" ht="12.75">
      <c r="H374" s="25"/>
    </row>
    <row r="375" ht="12.75">
      <c r="H375" s="25"/>
    </row>
    <row r="376" ht="12.75">
      <c r="H376" s="25"/>
    </row>
    <row r="377" ht="12.75">
      <c r="H377" s="25"/>
    </row>
    <row r="378" ht="12.75">
      <c r="H378" s="25"/>
    </row>
    <row r="379" ht="12.75">
      <c r="H379" s="25"/>
    </row>
    <row r="380" ht="12.75">
      <c r="H380" s="25"/>
    </row>
    <row r="381" ht="12.75">
      <c r="H381" s="25"/>
    </row>
    <row r="382" ht="12.75">
      <c r="H382" s="25"/>
    </row>
    <row r="383" ht="12.75">
      <c r="H383" s="25"/>
    </row>
    <row r="384" ht="12.75">
      <c r="H384" s="25"/>
    </row>
    <row r="385" ht="12.75">
      <c r="H385" s="25"/>
    </row>
    <row r="386" ht="12.75">
      <c r="H386" s="25"/>
    </row>
    <row r="387" ht="12.75">
      <c r="H387" s="25"/>
    </row>
    <row r="388" ht="12.75">
      <c r="H388" s="25"/>
    </row>
    <row r="389" ht="12.75">
      <c r="H389" s="25"/>
    </row>
    <row r="390" ht="12.75">
      <c r="H390" s="25"/>
    </row>
    <row r="391" ht="12.75">
      <c r="H391" s="25"/>
    </row>
    <row r="392" ht="12.75">
      <c r="H392" s="25"/>
    </row>
    <row r="393" ht="12.75">
      <c r="H393" s="25"/>
    </row>
    <row r="394" ht="12.75">
      <c r="H394" s="25"/>
    </row>
    <row r="395" ht="12.75">
      <c r="H395" s="25"/>
    </row>
    <row r="396" ht="12.75">
      <c r="H396" s="25"/>
    </row>
    <row r="397" ht="12.75">
      <c r="H397" s="25"/>
    </row>
    <row r="398" ht="12.75">
      <c r="H398" s="25"/>
    </row>
    <row r="399" ht="12.75">
      <c r="H399" s="25"/>
    </row>
    <row r="400" ht="12.75">
      <c r="H400" s="25"/>
    </row>
    <row r="401" ht="12.75">
      <c r="H401" s="25"/>
    </row>
    <row r="402" ht="12.75">
      <c r="H402" s="25"/>
    </row>
    <row r="403" ht="12.75">
      <c r="H403" s="25"/>
    </row>
    <row r="404" ht="12.75">
      <c r="H404" s="25"/>
    </row>
    <row r="405" ht="12.75">
      <c r="H405" s="25"/>
    </row>
    <row r="406" ht="12.75">
      <c r="H406" s="25"/>
    </row>
    <row r="407" ht="12.75">
      <c r="H407" s="25"/>
    </row>
    <row r="408" ht="12.75">
      <c r="H408" s="25"/>
    </row>
    <row r="409" ht="12.75">
      <c r="H409" s="25"/>
    </row>
    <row r="410" ht="12.75">
      <c r="H410" s="25"/>
    </row>
    <row r="411" ht="12.75">
      <c r="H411" s="25"/>
    </row>
    <row r="412" ht="12.75">
      <c r="H412" s="25"/>
    </row>
    <row r="413" ht="12.75">
      <c r="H413" s="25"/>
    </row>
    <row r="414" ht="12.75">
      <c r="H414" s="25"/>
    </row>
    <row r="415" ht="12.75">
      <c r="H415" s="25"/>
    </row>
    <row r="416" ht="12.75">
      <c r="H416" s="25"/>
    </row>
    <row r="417" ht="12.75">
      <c r="H417" s="25"/>
    </row>
    <row r="418" ht="12.75">
      <c r="H418" s="25"/>
    </row>
    <row r="419" ht="12.75">
      <c r="H419" s="25"/>
    </row>
    <row r="420" ht="12.75">
      <c r="H420" s="25"/>
    </row>
    <row r="421" ht="12.75">
      <c r="H421" s="25"/>
    </row>
    <row r="422" ht="12.75">
      <c r="H422" s="25"/>
    </row>
    <row r="423" ht="12.75">
      <c r="H423" s="25"/>
    </row>
    <row r="424" ht="12.75">
      <c r="H424" s="25"/>
    </row>
    <row r="425" ht="12.75">
      <c r="H425" s="25"/>
    </row>
    <row r="426" ht="12.75">
      <c r="H426" s="25"/>
    </row>
    <row r="427" ht="12.75">
      <c r="H427" s="25"/>
    </row>
    <row r="428" ht="12.75">
      <c r="H428" s="25"/>
    </row>
    <row r="429" ht="12.75">
      <c r="H429" s="25"/>
    </row>
    <row r="430" ht="12.75">
      <c r="H430" s="25"/>
    </row>
    <row r="431" ht="12.75">
      <c r="H431" s="25"/>
    </row>
    <row r="432" ht="12.75">
      <c r="H432" s="25"/>
    </row>
    <row r="433" ht="12.75">
      <c r="H433" s="25"/>
    </row>
    <row r="434" ht="12.75">
      <c r="H434" s="25"/>
    </row>
    <row r="435" ht="12.75">
      <c r="H435" s="25"/>
    </row>
    <row r="436" ht="12.75">
      <c r="H436" s="25"/>
    </row>
    <row r="437" ht="12.75">
      <c r="H437" s="25"/>
    </row>
    <row r="438" ht="12.75">
      <c r="H438" s="25"/>
    </row>
    <row r="439" ht="12.75">
      <c r="H439" s="25"/>
    </row>
    <row r="440" ht="12.75">
      <c r="H440" s="25"/>
    </row>
    <row r="441" ht="12.75">
      <c r="H441" s="25"/>
    </row>
    <row r="442" ht="12.75">
      <c r="H442" s="25"/>
    </row>
    <row r="443" ht="12.75">
      <c r="H443" s="25"/>
    </row>
    <row r="444" ht="12.75">
      <c r="H444" s="25"/>
    </row>
    <row r="445" ht="12.75">
      <c r="H445" s="25"/>
    </row>
    <row r="446" ht="12.75">
      <c r="H446" s="25"/>
    </row>
    <row r="447" ht="12.75">
      <c r="H447" s="25"/>
    </row>
    <row r="448" ht="12.75">
      <c r="H448" s="25"/>
    </row>
    <row r="449" ht="12.75">
      <c r="H449" s="25"/>
    </row>
    <row r="450" ht="12.75">
      <c r="H450" s="25"/>
    </row>
    <row r="451" ht="12.75">
      <c r="H451" s="25"/>
    </row>
    <row r="452" ht="12.75">
      <c r="H452" s="25"/>
    </row>
    <row r="453" ht="12.75">
      <c r="H453" s="25"/>
    </row>
    <row r="454" ht="12.75">
      <c r="H454" s="25"/>
    </row>
    <row r="455" ht="12.75">
      <c r="H455" s="25"/>
    </row>
    <row r="456" ht="12.75">
      <c r="H456" s="25"/>
    </row>
    <row r="457" ht="12.75">
      <c r="H457" s="25"/>
    </row>
    <row r="458" ht="12.75">
      <c r="H458" s="25"/>
    </row>
    <row r="459" ht="12.75">
      <c r="H459" s="25"/>
    </row>
    <row r="460" ht="12.75">
      <c r="H460" s="25"/>
    </row>
    <row r="461" ht="12.75">
      <c r="H461" s="25"/>
    </row>
    <row r="462" ht="12.75">
      <c r="H462" s="25"/>
    </row>
    <row r="463" ht="12.75">
      <c r="H463" s="25"/>
    </row>
    <row r="464" ht="12.75">
      <c r="H464" s="25"/>
    </row>
    <row r="465" ht="12.75">
      <c r="H465" s="25"/>
    </row>
    <row r="466" ht="12.75">
      <c r="H466" s="25"/>
    </row>
    <row r="467" ht="12.75">
      <c r="H467" s="25"/>
    </row>
    <row r="468" ht="12.75">
      <c r="H468" s="25"/>
    </row>
    <row r="469" ht="12.75">
      <c r="H469" s="25"/>
    </row>
    <row r="470" ht="12.75">
      <c r="H470" s="25"/>
    </row>
    <row r="471" ht="12.75">
      <c r="H471" s="25"/>
    </row>
    <row r="472" ht="12.75">
      <c r="H472" s="25"/>
    </row>
    <row r="473" ht="12.75">
      <c r="H473" s="25"/>
    </row>
    <row r="474" ht="12.75">
      <c r="H474" s="25"/>
    </row>
    <row r="475" ht="12.75">
      <c r="H475" s="25"/>
    </row>
    <row r="476" ht="12.75">
      <c r="H476" s="25"/>
    </row>
    <row r="477" ht="12.75">
      <c r="H477" s="25"/>
    </row>
    <row r="478" ht="12.75">
      <c r="H478" s="25"/>
    </row>
    <row r="479" ht="12.75">
      <c r="H479" s="25"/>
    </row>
    <row r="480" ht="12.75">
      <c r="H480" s="25"/>
    </row>
    <row r="481" ht="12.75">
      <c r="H481" s="25"/>
    </row>
    <row r="482" ht="12.75">
      <c r="H482" s="25"/>
    </row>
    <row r="483" ht="12.75">
      <c r="H483" s="25"/>
    </row>
    <row r="484" ht="12.75">
      <c r="H484" s="25"/>
    </row>
    <row r="485" ht="12.75">
      <c r="H485" s="25"/>
    </row>
    <row r="486" ht="12.75">
      <c r="H486" s="25"/>
    </row>
    <row r="487" ht="12.75">
      <c r="H487" s="25"/>
    </row>
    <row r="488" ht="12.75">
      <c r="H488" s="25"/>
    </row>
    <row r="489" ht="12.75">
      <c r="H489" s="25"/>
    </row>
    <row r="490" ht="12.75">
      <c r="H490" s="25"/>
    </row>
    <row r="491" ht="12.75">
      <c r="H491" s="25"/>
    </row>
    <row r="492" ht="12.75">
      <c r="H492" s="25"/>
    </row>
    <row r="493" ht="12.75">
      <c r="H493" s="25"/>
    </row>
    <row r="494" ht="12.75">
      <c r="H494" s="25"/>
    </row>
    <row r="495" ht="12.75">
      <c r="H495" s="25"/>
    </row>
    <row r="496" ht="12.75">
      <c r="H496" s="25"/>
    </row>
    <row r="497" ht="12.75">
      <c r="H497" s="25"/>
    </row>
    <row r="498" ht="12.75">
      <c r="H498" s="25"/>
    </row>
    <row r="499" ht="12.75">
      <c r="H499" s="25"/>
    </row>
    <row r="500" ht="12.75">
      <c r="H500" s="25"/>
    </row>
    <row r="501" ht="12.75">
      <c r="H501" s="25"/>
    </row>
    <row r="502" ht="12.75">
      <c r="H502" s="25"/>
    </row>
    <row r="503" ht="12.75">
      <c r="H503" s="25"/>
    </row>
    <row r="504" ht="12.75">
      <c r="H504" s="25"/>
    </row>
    <row r="505" ht="12.75">
      <c r="H505" s="25"/>
    </row>
    <row r="506" ht="12.75">
      <c r="H506" s="25"/>
    </row>
    <row r="507" ht="12.75">
      <c r="H507" s="25"/>
    </row>
    <row r="508" ht="12.75">
      <c r="H508" s="25"/>
    </row>
    <row r="509" ht="12.75">
      <c r="H509" s="25"/>
    </row>
    <row r="510" ht="12.75">
      <c r="H510" s="25"/>
    </row>
    <row r="511" ht="12.75">
      <c r="H511" s="25"/>
    </row>
    <row r="512" ht="12.75">
      <c r="H512" s="25"/>
    </row>
    <row r="513" ht="12.75">
      <c r="H513" s="25"/>
    </row>
    <row r="514" ht="12.75">
      <c r="H514" s="25"/>
    </row>
    <row r="515" ht="12.75">
      <c r="H515" s="25"/>
    </row>
    <row r="516" ht="12.75">
      <c r="H516" s="25"/>
    </row>
    <row r="517" ht="12.75">
      <c r="H517" s="25"/>
    </row>
    <row r="518" ht="12.75">
      <c r="H518" s="25"/>
    </row>
    <row r="519" ht="12.75">
      <c r="H519" s="25"/>
    </row>
    <row r="520" ht="12.75">
      <c r="H520" s="25"/>
    </row>
    <row r="521" ht="12.75">
      <c r="H521" s="25"/>
    </row>
    <row r="522" ht="12.75">
      <c r="H522" s="25"/>
    </row>
    <row r="523" ht="12.75">
      <c r="H523" s="25"/>
    </row>
    <row r="524" ht="12.75">
      <c r="H524" s="25"/>
    </row>
    <row r="525" ht="12.75">
      <c r="H525" s="25"/>
    </row>
    <row r="526" ht="12.75">
      <c r="H526" s="25"/>
    </row>
    <row r="527" ht="12.75">
      <c r="H527" s="25"/>
    </row>
    <row r="528" ht="12.75">
      <c r="H528" s="25"/>
    </row>
    <row r="529" ht="12.75">
      <c r="H529" s="25"/>
    </row>
    <row r="530" ht="12.75">
      <c r="H530" s="25"/>
    </row>
    <row r="531" ht="12.75">
      <c r="H531" s="25"/>
    </row>
    <row r="532" ht="12.75">
      <c r="H532" s="25"/>
    </row>
    <row r="533" ht="12.75">
      <c r="H533" s="25"/>
    </row>
    <row r="534" ht="12.75">
      <c r="H534" s="25"/>
    </row>
    <row r="535" ht="12.75">
      <c r="H535" s="25"/>
    </row>
    <row r="536" ht="12.75">
      <c r="H536" s="25"/>
    </row>
    <row r="537" ht="12.75">
      <c r="H537" s="25"/>
    </row>
    <row r="538" ht="12.75">
      <c r="H538" s="25"/>
    </row>
    <row r="539" ht="12.75">
      <c r="H539" s="25"/>
    </row>
    <row r="540" ht="12.75">
      <c r="H540" s="25"/>
    </row>
    <row r="541" ht="12.75">
      <c r="H541" s="25"/>
    </row>
    <row r="542" ht="12.75">
      <c r="H542" s="25"/>
    </row>
    <row r="543" ht="12.75">
      <c r="H543" s="25"/>
    </row>
    <row r="544" ht="12.75">
      <c r="H544" s="25"/>
    </row>
    <row r="545" ht="12.75">
      <c r="H545" s="25"/>
    </row>
    <row r="546" ht="12.75">
      <c r="H546" s="25"/>
    </row>
    <row r="547" ht="12.75">
      <c r="H547" s="25"/>
    </row>
    <row r="548" ht="12.75">
      <c r="H548" s="25"/>
    </row>
    <row r="549" ht="12.75">
      <c r="H549" s="25"/>
    </row>
    <row r="550" ht="12.75">
      <c r="H550" s="25"/>
    </row>
    <row r="551" ht="12.75">
      <c r="H551" s="25"/>
    </row>
    <row r="552" ht="12.75">
      <c r="H552" s="25"/>
    </row>
    <row r="553" ht="12.75">
      <c r="H553" s="25"/>
    </row>
    <row r="554" ht="12.75">
      <c r="H554" s="25"/>
    </row>
    <row r="555" ht="12.75">
      <c r="H555" s="25"/>
    </row>
    <row r="556" ht="12.75">
      <c r="H556" s="25"/>
    </row>
    <row r="557" ht="12.75">
      <c r="H557" s="25"/>
    </row>
    <row r="558" ht="12.75">
      <c r="H558" s="25"/>
    </row>
    <row r="559" ht="12.75">
      <c r="H559" s="25"/>
    </row>
    <row r="560" ht="12.75">
      <c r="H560" s="25"/>
    </row>
    <row r="561" ht="12.75">
      <c r="H561" s="25"/>
    </row>
    <row r="562" ht="12.75">
      <c r="H562" s="25"/>
    </row>
    <row r="563" ht="12.75">
      <c r="H563" s="25"/>
    </row>
    <row r="564" ht="12.75">
      <c r="H564" s="25"/>
    </row>
    <row r="565" ht="12.75">
      <c r="H565" s="25"/>
    </row>
    <row r="566" ht="12.75">
      <c r="H566" s="25"/>
    </row>
    <row r="567" ht="12.75">
      <c r="H567" s="25"/>
    </row>
    <row r="568" ht="12.75">
      <c r="H568" s="25"/>
    </row>
    <row r="569" ht="12.75">
      <c r="H569" s="25"/>
    </row>
    <row r="570" ht="12.75">
      <c r="H570" s="25"/>
    </row>
    <row r="571" ht="12.75">
      <c r="H571" s="25"/>
    </row>
    <row r="572" ht="12.75">
      <c r="H572" s="25"/>
    </row>
    <row r="573" ht="12.75">
      <c r="H573" s="25"/>
    </row>
    <row r="574" ht="12.75">
      <c r="H574" s="25"/>
    </row>
    <row r="575" ht="12.75">
      <c r="H575" s="25"/>
    </row>
    <row r="576" ht="12.75">
      <c r="H576" s="25"/>
    </row>
    <row r="577" ht="12.75">
      <c r="H577" s="25"/>
    </row>
    <row r="578" ht="12.75">
      <c r="H578" s="25"/>
    </row>
    <row r="579" ht="12.75">
      <c r="H579" s="25"/>
    </row>
    <row r="580" ht="12.75">
      <c r="H580" s="25"/>
    </row>
    <row r="581" ht="12.75">
      <c r="H581" s="25"/>
    </row>
    <row r="582" ht="12.75">
      <c r="H582" s="25"/>
    </row>
    <row r="583" ht="12.75">
      <c r="H583" s="25"/>
    </row>
    <row r="584" ht="12.75">
      <c r="H584" s="25"/>
    </row>
    <row r="585" ht="12.75">
      <c r="H585" s="25"/>
    </row>
    <row r="586" ht="12.75">
      <c r="H586" s="25"/>
    </row>
    <row r="587" ht="12.75">
      <c r="H587" s="25"/>
    </row>
    <row r="588" ht="12.75">
      <c r="H588" s="25"/>
    </row>
    <row r="589" ht="12.75">
      <c r="H589" s="25"/>
    </row>
    <row r="590" ht="12.75">
      <c r="H590" s="25"/>
    </row>
    <row r="591" ht="12.75">
      <c r="H591" s="25"/>
    </row>
    <row r="592" ht="12.75">
      <c r="H592" s="25"/>
    </row>
    <row r="593" ht="12.75">
      <c r="H593" s="25"/>
    </row>
    <row r="594" ht="12.75">
      <c r="H594" s="25"/>
    </row>
    <row r="595" ht="12.75">
      <c r="H595" s="25"/>
    </row>
    <row r="596" ht="12.75">
      <c r="H596" s="25"/>
    </row>
    <row r="597" ht="12.75">
      <c r="H597" s="25"/>
    </row>
    <row r="598" ht="12.75">
      <c r="H598" s="25"/>
    </row>
    <row r="599" ht="12.75">
      <c r="H599" s="25"/>
    </row>
    <row r="600" ht="12.75">
      <c r="H600" s="25"/>
    </row>
    <row r="601" ht="12.75">
      <c r="H601" s="25"/>
    </row>
    <row r="602" ht="12.75">
      <c r="H602" s="25"/>
    </row>
    <row r="603" ht="12.75">
      <c r="H603" s="25"/>
    </row>
    <row r="604" ht="12.75">
      <c r="H604" s="25"/>
    </row>
    <row r="605" ht="12.75">
      <c r="H605" s="25"/>
    </row>
    <row r="606" ht="12.75">
      <c r="H606" s="25"/>
    </row>
    <row r="607" ht="12.75">
      <c r="H607" s="25"/>
    </row>
    <row r="608" ht="12.75">
      <c r="H608" s="25"/>
    </row>
    <row r="609" ht="12.75">
      <c r="H609" s="25"/>
    </row>
    <row r="610" ht="12.75">
      <c r="H610" s="25"/>
    </row>
    <row r="611" ht="12.75">
      <c r="H611" s="25"/>
    </row>
    <row r="612" ht="12.75">
      <c r="H612" s="25"/>
    </row>
    <row r="613" ht="12.75">
      <c r="H613" s="25"/>
    </row>
    <row r="614" ht="12.75">
      <c r="H614" s="25"/>
    </row>
    <row r="615" ht="12.75">
      <c r="H615" s="25"/>
    </row>
    <row r="616" ht="12.75">
      <c r="H616" s="25"/>
    </row>
    <row r="617" ht="12.75">
      <c r="H617" s="25"/>
    </row>
    <row r="618" ht="12.75">
      <c r="H618" s="25"/>
    </row>
    <row r="619" ht="12.75">
      <c r="H619" s="25"/>
    </row>
    <row r="620" ht="12.75">
      <c r="H620" s="25"/>
    </row>
    <row r="621" ht="12.75">
      <c r="H621" s="25"/>
    </row>
    <row r="622" ht="12.75">
      <c r="H622" s="25"/>
    </row>
    <row r="623" ht="12.75">
      <c r="H623" s="25"/>
    </row>
    <row r="624" ht="12.75">
      <c r="H624" s="25"/>
    </row>
    <row r="625" ht="12.75">
      <c r="H625" s="25"/>
    </row>
    <row r="626" ht="12.75">
      <c r="H626" s="25"/>
    </row>
    <row r="627" ht="12.75">
      <c r="H627" s="25"/>
    </row>
    <row r="628" ht="12.75">
      <c r="H628" s="25"/>
    </row>
    <row r="629" ht="12.75">
      <c r="H629" s="25"/>
    </row>
    <row r="630" ht="12.75">
      <c r="H630" s="25"/>
    </row>
    <row r="631" ht="12.75">
      <c r="H631" s="25"/>
    </row>
    <row r="632" ht="12.75">
      <c r="H632" s="25"/>
    </row>
    <row r="633" ht="12.75">
      <c r="H633" s="25"/>
    </row>
    <row r="634" ht="12.75">
      <c r="H634" s="25"/>
    </row>
    <row r="635" ht="12.75">
      <c r="H635" s="25"/>
    </row>
    <row r="636" ht="12.75">
      <c r="H636" s="25"/>
    </row>
    <row r="637" ht="12.75">
      <c r="H637" s="25"/>
    </row>
    <row r="638" ht="12.75">
      <c r="H638" s="25"/>
    </row>
    <row r="639" ht="12.75">
      <c r="H639" s="25"/>
    </row>
    <row r="640" ht="12.75">
      <c r="H640" s="25"/>
    </row>
    <row r="641" ht="12.75">
      <c r="H641" s="25"/>
    </row>
    <row r="642" ht="12.75">
      <c r="H642" s="25"/>
    </row>
    <row r="643" ht="12.75">
      <c r="H643" s="25"/>
    </row>
    <row r="644" ht="12.75">
      <c r="H644" s="25"/>
    </row>
    <row r="645" ht="12.75">
      <c r="H645" s="25"/>
    </row>
    <row r="646" ht="12.75">
      <c r="H646" s="25"/>
    </row>
  </sheetData>
  <printOptions/>
  <pageMargins left="0.45" right="0.57" top="0.33" bottom="0.17" header="0.5" footer="0.17"/>
  <pageSetup horizontalDpi="600" verticalDpi="600" orientation="portrait" scale="66" r:id="rId1"/>
  <headerFooter alignWithMargins="0">
    <oddFooter>&amp;C&amp;"Tahoma,Regular"&amp;11- 2 -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S66"/>
  <sheetViews>
    <sheetView view="pageBreakPreview" zoomScale="75" zoomScaleNormal="90" zoomScaleSheetLayoutView="75" workbookViewId="0" topLeftCell="B1">
      <selection activeCell="F52" sqref="F52"/>
    </sheetView>
  </sheetViews>
  <sheetFormatPr defaultColWidth="9.140625" defaultRowHeight="12.75"/>
  <cols>
    <col min="1" max="1" width="2.140625" style="1" hidden="1" customWidth="1"/>
    <col min="2" max="2" width="40.140625" style="1" customWidth="1"/>
    <col min="3" max="3" width="1.8515625" style="1" customWidth="1"/>
    <col min="4" max="4" width="16.7109375" style="1" customWidth="1"/>
    <col min="5" max="5" width="2.7109375" style="1" customWidth="1"/>
    <col min="6" max="6" width="16.8515625" style="1" customWidth="1"/>
    <col min="7" max="7" width="2.7109375" style="1" customWidth="1"/>
    <col min="8" max="8" width="16.7109375" style="1" customWidth="1"/>
    <col min="9" max="9" width="2.7109375" style="1" customWidth="1"/>
    <col min="10" max="10" width="16.7109375" style="1" customWidth="1"/>
    <col min="11" max="11" width="2.7109375" style="1" customWidth="1"/>
    <col min="12" max="12" width="16.7109375" style="1" customWidth="1"/>
    <col min="13" max="13" width="2.7109375" style="1" customWidth="1"/>
    <col min="14" max="14" width="16.7109375" style="1" customWidth="1"/>
    <col min="15" max="15" width="2.00390625" style="1" customWidth="1"/>
    <col min="16" max="16" width="12.7109375" style="1" bestFit="1" customWidth="1"/>
    <col min="17" max="18" width="9.140625" style="1" customWidth="1"/>
    <col min="19" max="19" width="10.421875" style="111" bestFit="1" customWidth="1"/>
    <col min="20" max="16384" width="9.140625" style="1" customWidth="1"/>
  </cols>
  <sheetData>
    <row r="2" ht="18">
      <c r="B2" s="6" t="s">
        <v>0</v>
      </c>
    </row>
    <row r="3" ht="14.25">
      <c r="B3" s="7" t="s">
        <v>1</v>
      </c>
    </row>
    <row r="5" ht="14.25">
      <c r="B5" s="3" t="s">
        <v>43</v>
      </c>
    </row>
    <row r="6" ht="14.25">
      <c r="B6" s="3" t="s">
        <v>133</v>
      </c>
    </row>
    <row r="9" spans="4:14" ht="14.25">
      <c r="D9" s="175" t="s">
        <v>113</v>
      </c>
      <c r="E9" s="175"/>
      <c r="F9" s="175"/>
      <c r="G9" s="175"/>
      <c r="H9" s="175"/>
      <c r="I9" s="175"/>
      <c r="J9" s="175"/>
      <c r="L9" s="119" t="s">
        <v>50</v>
      </c>
      <c r="M9" s="120"/>
      <c r="N9" s="119" t="s">
        <v>49</v>
      </c>
    </row>
    <row r="10" spans="12:14" ht="14.25">
      <c r="L10" s="119" t="s">
        <v>51</v>
      </c>
      <c r="M10" s="120"/>
      <c r="N10" s="119" t="s">
        <v>52</v>
      </c>
    </row>
    <row r="11" spans="4:7" ht="14.25">
      <c r="D11" s="175" t="s">
        <v>114</v>
      </c>
      <c r="E11" s="175"/>
      <c r="F11" s="175"/>
      <c r="G11" s="175"/>
    </row>
    <row r="12" spans="2:14" ht="14.25">
      <c r="B12" s="2"/>
      <c r="C12" s="2"/>
      <c r="D12" s="8" t="s">
        <v>44</v>
      </c>
      <c r="E12" s="43"/>
      <c r="F12" s="8" t="s">
        <v>46</v>
      </c>
      <c r="G12" s="8"/>
      <c r="H12" s="8" t="s">
        <v>48</v>
      </c>
      <c r="I12" s="39"/>
      <c r="J12" s="8"/>
      <c r="K12" s="8"/>
      <c r="L12" s="8"/>
      <c r="M12" s="8"/>
      <c r="N12" s="8"/>
    </row>
    <row r="13" spans="2:14" ht="14.25">
      <c r="B13" s="2"/>
      <c r="C13" s="2"/>
      <c r="D13" s="8" t="s">
        <v>45</v>
      </c>
      <c r="E13" s="43"/>
      <c r="F13" s="8" t="s">
        <v>47</v>
      </c>
      <c r="G13" s="8"/>
      <c r="H13" s="8" t="s">
        <v>100</v>
      </c>
      <c r="I13" s="39"/>
      <c r="J13" s="8" t="s">
        <v>49</v>
      </c>
      <c r="K13" s="8"/>
      <c r="L13" s="8"/>
      <c r="M13" s="8"/>
      <c r="N13" s="8"/>
    </row>
    <row r="14" spans="2:14" ht="14.25">
      <c r="B14" s="2" t="s">
        <v>13</v>
      </c>
      <c r="C14" s="2"/>
      <c r="D14" s="8" t="s">
        <v>7</v>
      </c>
      <c r="E14" s="43"/>
      <c r="F14" s="8" t="s">
        <v>7</v>
      </c>
      <c r="G14" s="43"/>
      <c r="H14" s="8" t="s">
        <v>7</v>
      </c>
      <c r="I14" s="39" t="s">
        <v>13</v>
      </c>
      <c r="J14" s="8" t="s">
        <v>7</v>
      </c>
      <c r="K14" s="8"/>
      <c r="L14" s="8" t="s">
        <v>7</v>
      </c>
      <c r="M14" s="8"/>
      <c r="N14" s="8" t="s">
        <v>7</v>
      </c>
    </row>
    <row r="15" spans="2:14" ht="14.25">
      <c r="B15" s="2"/>
      <c r="C15" s="2"/>
      <c r="D15" s="2"/>
      <c r="E15" s="39"/>
      <c r="F15" s="2"/>
      <c r="G15" s="39"/>
      <c r="H15" s="2"/>
      <c r="I15" s="39"/>
      <c r="J15" s="2"/>
      <c r="K15" s="39"/>
      <c r="L15" s="2"/>
      <c r="M15" s="39"/>
      <c r="N15" s="2"/>
    </row>
    <row r="16" spans="2:14" ht="19.5" customHeight="1">
      <c r="B16" s="73" t="s">
        <v>53</v>
      </c>
      <c r="C16" s="2"/>
      <c r="D16" s="14">
        <v>450000</v>
      </c>
      <c r="E16" s="68"/>
      <c r="F16" s="14">
        <v>306112</v>
      </c>
      <c r="G16" s="68"/>
      <c r="H16" s="14">
        <v>-331044</v>
      </c>
      <c r="I16" s="68"/>
      <c r="J16" s="14">
        <f>SUM(D16:H16)</f>
        <v>425068</v>
      </c>
      <c r="K16" s="68"/>
      <c r="L16" s="14">
        <v>51025</v>
      </c>
      <c r="M16" s="68"/>
      <c r="N16" s="14">
        <f>SUM(J16:L16)</f>
        <v>476093</v>
      </c>
    </row>
    <row r="17" spans="2:16" ht="14.25">
      <c r="B17" s="2"/>
      <c r="C17" s="2"/>
      <c r="D17" s="11"/>
      <c r="E17" s="13"/>
      <c r="F17" s="11"/>
      <c r="G17" s="13"/>
      <c r="H17" s="11"/>
      <c r="I17" s="13"/>
      <c r="J17" s="11"/>
      <c r="K17" s="13"/>
      <c r="L17" s="11"/>
      <c r="M17" s="13"/>
      <c r="N17" s="11"/>
      <c r="P17" s="66"/>
    </row>
    <row r="18" spans="2:14" ht="14.25">
      <c r="B18" s="2"/>
      <c r="C18" s="2"/>
      <c r="D18" s="11"/>
      <c r="E18" s="13"/>
      <c r="F18" s="11"/>
      <c r="G18" s="13"/>
      <c r="H18" s="11"/>
      <c r="I18" s="13"/>
      <c r="J18" s="11"/>
      <c r="K18" s="13"/>
      <c r="L18" s="11"/>
      <c r="M18" s="13"/>
      <c r="N18" s="11"/>
    </row>
    <row r="19" spans="2:14" ht="14.25">
      <c r="B19" s="2" t="s">
        <v>81</v>
      </c>
      <c r="C19" s="2"/>
      <c r="D19" s="11">
        <v>0</v>
      </c>
      <c r="E19" s="13"/>
      <c r="F19" s="11">
        <v>0</v>
      </c>
      <c r="G19" s="13"/>
      <c r="H19" s="11">
        <f>+'I. Statements'!J54</f>
        <v>4632</v>
      </c>
      <c r="I19" s="13"/>
      <c r="J19" s="11">
        <f>SUM(D19:H19)</f>
        <v>4632</v>
      </c>
      <c r="K19" s="13" t="s">
        <v>13</v>
      </c>
      <c r="L19" s="11">
        <f>+'I. Statements'!J55</f>
        <v>2095</v>
      </c>
      <c r="M19" s="13"/>
      <c r="N19" s="11">
        <f>SUM(J19:L19)</f>
        <v>6727</v>
      </c>
    </row>
    <row r="20" spans="2:14" ht="14.25">
      <c r="B20" s="2"/>
      <c r="C20" s="2"/>
      <c r="D20" s="11"/>
      <c r="E20" s="13"/>
      <c r="F20" s="11"/>
      <c r="G20" s="13"/>
      <c r="H20" s="11"/>
      <c r="I20" s="13"/>
      <c r="J20" s="11"/>
      <c r="K20" s="13"/>
      <c r="L20" s="11"/>
      <c r="M20" s="13"/>
      <c r="N20" s="11"/>
    </row>
    <row r="21" spans="2:14" ht="14.25">
      <c r="B21" s="2"/>
      <c r="C21" s="2"/>
      <c r="D21" s="11"/>
      <c r="E21" s="13"/>
      <c r="F21" s="11"/>
      <c r="G21" s="13"/>
      <c r="H21" s="11"/>
      <c r="I21" s="13"/>
      <c r="J21" s="11"/>
      <c r="K21" s="13"/>
      <c r="L21" s="11"/>
      <c r="M21" s="13"/>
      <c r="N21" s="11"/>
    </row>
    <row r="22" spans="2:14" ht="14.25">
      <c r="B22" s="2" t="s">
        <v>145</v>
      </c>
      <c r="C22" s="2"/>
      <c r="D22" s="11">
        <v>0</v>
      </c>
      <c r="E22" s="13"/>
      <c r="F22" s="11">
        <v>0</v>
      </c>
      <c r="G22" s="13"/>
      <c r="H22" s="11">
        <v>0</v>
      </c>
      <c r="I22" s="13"/>
      <c r="J22" s="11">
        <f>SUM(D22:H22)</f>
        <v>0</v>
      </c>
      <c r="K22" s="13"/>
      <c r="L22" s="11">
        <v>-6300</v>
      </c>
      <c r="M22" s="13"/>
      <c r="N22" s="11">
        <f>SUM(J22:L22)</f>
        <v>-6300</v>
      </c>
    </row>
    <row r="23" spans="2:14" ht="14.25">
      <c r="B23" s="2"/>
      <c r="C23" s="2"/>
      <c r="D23" s="11"/>
      <c r="E23" s="13"/>
      <c r="F23" s="11"/>
      <c r="G23" s="13"/>
      <c r="H23" s="11"/>
      <c r="I23" s="13"/>
      <c r="J23" s="11"/>
      <c r="K23" s="13"/>
      <c r="L23" s="11"/>
      <c r="M23" s="13"/>
      <c r="N23" s="11"/>
    </row>
    <row r="24" spans="2:14" ht="14.25">
      <c r="B24" s="2"/>
      <c r="C24" s="2"/>
      <c r="D24" s="11"/>
      <c r="E24" s="13"/>
      <c r="F24" s="11"/>
      <c r="G24" s="13"/>
      <c r="H24" s="11"/>
      <c r="I24" s="13"/>
      <c r="J24" s="11"/>
      <c r="K24" s="13"/>
      <c r="L24" s="11"/>
      <c r="M24" s="13"/>
      <c r="N24" s="11"/>
    </row>
    <row r="25" spans="2:14" ht="14.25">
      <c r="B25" s="2" t="s">
        <v>99</v>
      </c>
      <c r="C25" s="2"/>
      <c r="D25" s="11">
        <v>0</v>
      </c>
      <c r="E25" s="13"/>
      <c r="F25" s="11">
        <v>0</v>
      </c>
      <c r="G25" s="13"/>
      <c r="H25" s="11">
        <v>0</v>
      </c>
      <c r="I25" s="13"/>
      <c r="J25" s="11">
        <f>SUM(D25:H25)</f>
        <v>0</v>
      </c>
      <c r="K25" s="13"/>
      <c r="L25" s="11">
        <f>-353232/1000-1</f>
        <v>-354.232</v>
      </c>
      <c r="M25" s="13"/>
      <c r="N25" s="11">
        <f>SUM(J25:L25)</f>
        <v>-354.232</v>
      </c>
    </row>
    <row r="26" spans="2:16" ht="14.25">
      <c r="B26" s="2"/>
      <c r="C26" s="2"/>
      <c r="D26" s="11"/>
      <c r="E26" s="13"/>
      <c r="F26" s="11"/>
      <c r="G26" s="13"/>
      <c r="H26" s="11"/>
      <c r="I26" s="13"/>
      <c r="J26" s="11"/>
      <c r="K26" s="13"/>
      <c r="L26" s="11"/>
      <c r="M26" s="13"/>
      <c r="N26" s="11"/>
      <c r="P26" s="1" t="s">
        <v>13</v>
      </c>
    </row>
    <row r="27" spans="2:16" ht="19.5" customHeight="1" thickBot="1">
      <c r="B27" s="2" t="s">
        <v>143</v>
      </c>
      <c r="C27" s="2"/>
      <c r="D27" s="85">
        <f>SUM(D16:D26)</f>
        <v>450000</v>
      </c>
      <c r="E27" s="86"/>
      <c r="F27" s="85">
        <f>SUM(F16:F26)</f>
        <v>306112</v>
      </c>
      <c r="G27" s="86"/>
      <c r="H27" s="85">
        <f>SUM(H16:H26)</f>
        <v>-326412</v>
      </c>
      <c r="I27" s="86"/>
      <c r="J27" s="85">
        <f>SUM(J16:J26)</f>
        <v>429700</v>
      </c>
      <c r="K27" s="86"/>
      <c r="L27" s="85">
        <f>SUM(L16:L26)</f>
        <v>46465.768</v>
      </c>
      <c r="M27" s="86"/>
      <c r="N27" s="85">
        <f>SUM(N16:N26)</f>
        <v>476165.768</v>
      </c>
      <c r="O27" s="1" t="s">
        <v>13</v>
      </c>
      <c r="P27" s="70"/>
    </row>
    <row r="28" spans="2:16" ht="15" thickTop="1">
      <c r="B28" s="2"/>
      <c r="C28" s="2"/>
      <c r="D28" s="11"/>
      <c r="E28" s="13"/>
      <c r="F28" s="11"/>
      <c r="G28" s="13"/>
      <c r="H28" s="11"/>
      <c r="I28" s="13"/>
      <c r="J28" s="11"/>
      <c r="K28" s="13"/>
      <c r="L28" s="11"/>
      <c r="M28" s="13"/>
      <c r="N28" s="11"/>
      <c r="P28" s="61"/>
    </row>
    <row r="29" spans="2:19" ht="14.25">
      <c r="B29" s="2"/>
      <c r="C29" s="2"/>
      <c r="D29" s="11"/>
      <c r="E29" s="13"/>
      <c r="F29" s="11"/>
      <c r="G29" s="13"/>
      <c r="H29" s="11"/>
      <c r="I29" s="13"/>
      <c r="J29" s="11"/>
      <c r="K29" s="13"/>
      <c r="L29" s="11"/>
      <c r="M29" s="13"/>
      <c r="N29" s="11"/>
      <c r="S29" s="111">
        <v>3368</v>
      </c>
    </row>
    <row r="30" spans="3:14" ht="14.25">
      <c r="C30" s="2"/>
      <c r="D30" s="11"/>
      <c r="E30" s="13"/>
      <c r="F30" s="11"/>
      <c r="G30" s="13"/>
      <c r="H30" s="11"/>
      <c r="I30" s="13"/>
      <c r="J30" s="11"/>
      <c r="K30" s="13"/>
      <c r="L30" s="11"/>
      <c r="M30" s="13"/>
      <c r="N30" s="11"/>
    </row>
    <row r="31" spans="2:14" ht="4.5" customHeight="1">
      <c r="B31" s="2"/>
      <c r="C31" s="2"/>
      <c r="D31" s="11"/>
      <c r="E31" s="13"/>
      <c r="F31" s="11"/>
      <c r="G31" s="13"/>
      <c r="H31" s="11"/>
      <c r="I31" s="13"/>
      <c r="J31" s="11"/>
      <c r="K31" s="13"/>
      <c r="L31" s="11"/>
      <c r="M31" s="13"/>
      <c r="N31" s="11"/>
    </row>
    <row r="32" spans="2:19" s="72" customFormat="1" ht="19.5" customHeight="1">
      <c r="B32" s="73" t="s">
        <v>112</v>
      </c>
      <c r="C32" s="73"/>
      <c r="D32" s="74">
        <v>450000</v>
      </c>
      <c r="E32" s="80"/>
      <c r="F32" s="74">
        <v>306112</v>
      </c>
      <c r="G32" s="80"/>
      <c r="H32" s="74">
        <v>-327049</v>
      </c>
      <c r="I32" s="80"/>
      <c r="J32" s="74">
        <f>SUM(D32:H32)</f>
        <v>429063</v>
      </c>
      <c r="K32" s="80"/>
      <c r="L32" s="74">
        <v>46396</v>
      </c>
      <c r="M32" s="80"/>
      <c r="N32" s="74">
        <f>SUM(J32:L32)</f>
        <v>475459</v>
      </c>
      <c r="P32" s="90"/>
      <c r="S32" s="112">
        <v>3286</v>
      </c>
    </row>
    <row r="33" spans="2:19" s="72" customFormat="1" ht="14.25">
      <c r="B33" s="73"/>
      <c r="C33" s="73"/>
      <c r="D33" s="75"/>
      <c r="E33" s="91"/>
      <c r="F33" s="75"/>
      <c r="G33" s="91"/>
      <c r="H33" s="75"/>
      <c r="I33" s="91"/>
      <c r="J33" s="75"/>
      <c r="K33" s="91"/>
      <c r="L33" s="75"/>
      <c r="M33" s="91"/>
      <c r="N33" s="75"/>
      <c r="P33" s="89"/>
      <c r="S33" s="112">
        <v>-6300</v>
      </c>
    </row>
    <row r="34" spans="2:19" s="72" customFormat="1" ht="14.25">
      <c r="B34" s="73"/>
      <c r="C34" s="73"/>
      <c r="D34" s="75"/>
      <c r="E34" s="91"/>
      <c r="F34" s="75"/>
      <c r="G34" s="91"/>
      <c r="H34" s="75"/>
      <c r="I34" s="91"/>
      <c r="J34" s="75"/>
      <c r="K34" s="91"/>
      <c r="L34" s="75"/>
      <c r="M34" s="91"/>
      <c r="N34" s="75"/>
      <c r="S34" s="112">
        <v>-354</v>
      </c>
    </row>
    <row r="35" spans="2:19" s="72" customFormat="1" ht="14.25">
      <c r="B35" s="73" t="s">
        <v>81</v>
      </c>
      <c r="C35" s="73" t="s">
        <v>13</v>
      </c>
      <c r="D35" s="75">
        <v>0</v>
      </c>
      <c r="E35" s="91"/>
      <c r="F35" s="75">
        <v>0</v>
      </c>
      <c r="G35" s="91"/>
      <c r="H35" s="75">
        <f>+'I. Statements'!H54</f>
        <v>17553.992</v>
      </c>
      <c r="I35" s="91"/>
      <c r="J35" s="75">
        <f>SUM(D35:H35)</f>
        <v>17553.992</v>
      </c>
      <c r="K35" s="91"/>
      <c r="L35" s="75">
        <f>+'I. Statements'!H55</f>
        <v>3664.78</v>
      </c>
      <c r="M35" s="91"/>
      <c r="N35" s="75">
        <f>SUM(J35:L35)</f>
        <v>21218.771999999997</v>
      </c>
      <c r="P35" s="90"/>
      <c r="S35" s="112">
        <f>SUM(S32:S34)</f>
        <v>-3368</v>
      </c>
    </row>
    <row r="36" spans="2:19" s="72" customFormat="1" ht="14.25">
      <c r="B36" s="73"/>
      <c r="C36" s="73"/>
      <c r="D36" s="75"/>
      <c r="E36" s="91"/>
      <c r="F36" s="75"/>
      <c r="G36" s="91"/>
      <c r="H36" s="75"/>
      <c r="I36" s="91"/>
      <c r="J36" s="75"/>
      <c r="K36" s="91"/>
      <c r="L36" s="75"/>
      <c r="M36" s="91"/>
      <c r="N36" s="75"/>
      <c r="P36" s="90"/>
      <c r="S36" s="112"/>
    </row>
    <row r="37" spans="2:19" s="72" customFormat="1" ht="14.25">
      <c r="B37" s="73"/>
      <c r="C37" s="73"/>
      <c r="D37" s="75"/>
      <c r="E37" s="91"/>
      <c r="F37" s="75"/>
      <c r="G37" s="91"/>
      <c r="H37" s="75"/>
      <c r="I37" s="91"/>
      <c r="J37" s="75"/>
      <c r="K37" s="91"/>
      <c r="L37" s="75"/>
      <c r="M37" s="91"/>
      <c r="N37" s="75"/>
      <c r="P37" s="90"/>
      <c r="S37" s="112"/>
    </row>
    <row r="38" spans="2:19" s="134" customFormat="1" ht="14.25">
      <c r="B38" s="137" t="s">
        <v>129</v>
      </c>
      <c r="C38" s="135"/>
      <c r="D38" s="131">
        <v>0</v>
      </c>
      <c r="E38" s="138"/>
      <c r="F38" s="131">
        <v>0</v>
      </c>
      <c r="G38" s="138"/>
      <c r="H38" s="131">
        <v>0</v>
      </c>
      <c r="I38" s="138"/>
      <c r="J38" s="131">
        <f>SUM(D38:H38)</f>
        <v>0</v>
      </c>
      <c r="K38" s="138"/>
      <c r="L38" s="132">
        <f>-2116043/1000</f>
        <v>-2116.043</v>
      </c>
      <c r="M38" s="138"/>
      <c r="N38" s="132">
        <f>SUM(J38:L38)</f>
        <v>-2116.043</v>
      </c>
      <c r="S38" s="139"/>
    </row>
    <row r="39" spans="2:19" s="72" customFormat="1" ht="14.25">
      <c r="B39" s="73"/>
      <c r="C39" s="73"/>
      <c r="D39" s="75"/>
      <c r="E39" s="91"/>
      <c r="F39" s="75"/>
      <c r="G39" s="91"/>
      <c r="H39" s="75"/>
      <c r="I39" s="91"/>
      <c r="J39" s="75"/>
      <c r="K39" s="91"/>
      <c r="L39" s="75"/>
      <c r="M39" s="91"/>
      <c r="N39" s="75"/>
      <c r="S39" s="112"/>
    </row>
    <row r="40" spans="2:19" s="72" customFormat="1" ht="14.25">
      <c r="B40" s="73"/>
      <c r="C40" s="73"/>
      <c r="D40" s="75"/>
      <c r="E40" s="91"/>
      <c r="F40" s="75"/>
      <c r="G40" s="91"/>
      <c r="H40" s="75"/>
      <c r="I40" s="91"/>
      <c r="J40" s="75"/>
      <c r="K40" s="91"/>
      <c r="L40" s="75"/>
      <c r="M40" s="91"/>
      <c r="N40" s="75"/>
      <c r="S40" s="112"/>
    </row>
    <row r="41" spans="2:19" s="72" customFormat="1" ht="14.25">
      <c r="B41" s="73" t="s">
        <v>99</v>
      </c>
      <c r="C41" s="73"/>
      <c r="D41" s="75">
        <v>0</v>
      </c>
      <c r="E41" s="91"/>
      <c r="F41" s="75">
        <v>0</v>
      </c>
      <c r="G41" s="91"/>
      <c r="H41" s="75">
        <v>0</v>
      </c>
      <c r="I41" s="91"/>
      <c r="J41" s="75">
        <v>0</v>
      </c>
      <c r="K41" s="91"/>
      <c r="L41" s="75">
        <f>-374261/1000</f>
        <v>-374.261</v>
      </c>
      <c r="M41" s="91"/>
      <c r="N41" s="75">
        <f>SUM(J41:L41)</f>
        <v>-374.261</v>
      </c>
      <c r="O41" s="72" t="s">
        <v>13</v>
      </c>
      <c r="S41" s="112"/>
    </row>
    <row r="42" spans="2:19" s="72" customFormat="1" ht="14.25">
      <c r="B42" s="73"/>
      <c r="C42" s="73"/>
      <c r="D42" s="75"/>
      <c r="E42" s="91"/>
      <c r="F42" s="75"/>
      <c r="G42" s="91"/>
      <c r="H42" s="75"/>
      <c r="I42" s="91"/>
      <c r="J42" s="75"/>
      <c r="K42" s="91"/>
      <c r="L42" s="75"/>
      <c r="M42" s="91"/>
      <c r="N42" s="75"/>
      <c r="S42" s="112"/>
    </row>
    <row r="43" spans="2:19" s="72" customFormat="1" ht="19.5" customHeight="1" thickBot="1">
      <c r="B43" s="73" t="s">
        <v>144</v>
      </c>
      <c r="C43" s="73"/>
      <c r="D43" s="92">
        <f>SUM(D32:D42)</f>
        <v>450000</v>
      </c>
      <c r="E43" s="93"/>
      <c r="F43" s="92">
        <f>SUM(F32:F42)</f>
        <v>306112</v>
      </c>
      <c r="G43" s="93"/>
      <c r="H43" s="92">
        <f>SUM(H32:H42)</f>
        <v>-309495.00800000003</v>
      </c>
      <c r="I43" s="93"/>
      <c r="J43" s="92">
        <f>SUM(J32:J42)</f>
        <v>446616.99199999997</v>
      </c>
      <c r="K43" s="93"/>
      <c r="L43" s="92">
        <f>SUM(L32:L42)</f>
        <v>47570.476</v>
      </c>
      <c r="M43" s="93"/>
      <c r="N43" s="92">
        <f>SUM(N32:N42)</f>
        <v>494187.468</v>
      </c>
      <c r="O43" s="72" t="s">
        <v>13</v>
      </c>
      <c r="P43" s="90">
        <f>+'B. Sheets'!F43</f>
        <v>494186.8359999999</v>
      </c>
      <c r="S43" s="112"/>
    </row>
    <row r="44" spans="2:19" s="72" customFormat="1" ht="15" thickTop="1">
      <c r="B44" s="73"/>
      <c r="C44" s="73"/>
      <c r="D44" s="75"/>
      <c r="E44" s="91"/>
      <c r="F44" s="75"/>
      <c r="G44" s="91"/>
      <c r="H44" s="75"/>
      <c r="I44" s="91"/>
      <c r="J44" s="75"/>
      <c r="K44" s="91"/>
      <c r="L44" s="75"/>
      <c r="M44" s="91"/>
      <c r="N44" s="75"/>
      <c r="P44" s="90">
        <f>+N43-P43</f>
        <v>0.6320000000996515</v>
      </c>
      <c r="S44" s="112"/>
    </row>
    <row r="45" spans="2:19" s="72" customFormat="1" ht="14.25">
      <c r="B45" s="73"/>
      <c r="C45" s="73"/>
      <c r="D45" s="75"/>
      <c r="E45" s="91"/>
      <c r="F45" s="75"/>
      <c r="G45" s="91"/>
      <c r="H45" s="75"/>
      <c r="I45" s="75"/>
      <c r="J45" s="75"/>
      <c r="K45" s="91"/>
      <c r="L45" s="75"/>
      <c r="M45" s="91"/>
      <c r="N45" s="75"/>
      <c r="P45" s="90"/>
      <c r="S45" s="112"/>
    </row>
    <row r="46" spans="2:14" ht="14.25">
      <c r="B46" s="2"/>
      <c r="C46" s="2"/>
      <c r="D46" s="11"/>
      <c r="E46" s="11"/>
      <c r="F46" s="11"/>
      <c r="G46" s="11"/>
      <c r="H46" s="11"/>
      <c r="I46" s="11"/>
      <c r="J46" s="11"/>
      <c r="K46" s="11"/>
      <c r="L46" s="11"/>
      <c r="M46" s="13"/>
      <c r="N46" s="11"/>
    </row>
    <row r="47" spans="2:14" ht="14.25"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3"/>
      <c r="N47" s="11"/>
    </row>
    <row r="48" spans="2:14" ht="14.25">
      <c r="B48" s="2"/>
      <c r="C48" s="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6" ht="14.25">
      <c r="B49" s="2"/>
      <c r="C49" s="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P49" s="123">
        <f>0.15/450*100</f>
        <v>0.03333333333333333</v>
      </c>
    </row>
    <row r="50" spans="2:14" ht="14.25">
      <c r="B50" s="2"/>
      <c r="C50" s="2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4.25">
      <c r="B51" s="2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4.25">
      <c r="B52" s="2"/>
      <c r="C52" s="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4.25">
      <c r="B53" s="2"/>
      <c r="C53" s="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4.25">
      <c r="B54" s="2"/>
      <c r="C54" s="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4.25">
      <c r="B55" s="2"/>
      <c r="C55" s="2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60" spans="2:19" s="168" customFormat="1" ht="14.25">
      <c r="B60" s="88" t="s">
        <v>87</v>
      </c>
      <c r="S60" s="169"/>
    </row>
    <row r="61" spans="2:19" s="168" customFormat="1" ht="14.25">
      <c r="B61" s="88" t="s">
        <v>115</v>
      </c>
      <c r="S61" s="169"/>
    </row>
    <row r="66" ht="14.25">
      <c r="O66" s="1" t="s">
        <v>13</v>
      </c>
    </row>
  </sheetData>
  <mergeCells count="2">
    <mergeCell ref="D9:J9"/>
    <mergeCell ref="D11:G11"/>
  </mergeCells>
  <printOptions/>
  <pageMargins left="0.3" right="0.3" top="1" bottom="1" header="0.5" footer="0.5"/>
  <pageSetup horizontalDpi="600" verticalDpi="600" orientation="portrait" scale="65" r:id="rId1"/>
  <headerFooter alignWithMargins="0">
    <oddFooter>&amp;C&amp;"Tahoma,Regular"- 3 -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58"/>
  <sheetViews>
    <sheetView view="pageBreakPreview" zoomScale="75" zoomScaleNormal="85" zoomScaleSheetLayoutView="75" workbookViewId="0" topLeftCell="A63">
      <selection activeCell="D74" sqref="D74"/>
    </sheetView>
  </sheetViews>
  <sheetFormatPr defaultColWidth="9.140625" defaultRowHeight="12.75"/>
  <cols>
    <col min="1" max="1" width="1.421875" style="0" customWidth="1"/>
    <col min="2" max="3" width="17.7109375" style="0" hidden="1" customWidth="1"/>
    <col min="4" max="4" width="64.140625" style="0" customWidth="1"/>
    <col min="5" max="5" width="1.7109375" style="0" customWidth="1"/>
    <col min="6" max="6" width="20.7109375" style="161" customWidth="1"/>
    <col min="7" max="7" width="3.7109375" style="17" customWidth="1"/>
    <col min="8" max="8" width="20.7109375" style="0" customWidth="1"/>
    <col min="9" max="9" width="1.421875" style="0" customWidth="1"/>
    <col min="10" max="10" width="6.00390625" style="0" customWidth="1"/>
    <col min="11" max="11" width="14.140625" style="71" customWidth="1"/>
    <col min="12" max="12" width="2.8515625" style="17" customWidth="1"/>
    <col min="13" max="13" width="15.00390625" style="17" customWidth="1"/>
    <col min="14" max="14" width="11.8515625" style="0" customWidth="1"/>
  </cols>
  <sheetData>
    <row r="1" spans="1:10" ht="18.75">
      <c r="A1" s="16"/>
      <c r="B1" s="26"/>
      <c r="C1" s="26"/>
      <c r="D1" s="6" t="s">
        <v>0</v>
      </c>
      <c r="E1" s="16"/>
      <c r="F1" s="143"/>
      <c r="G1" s="26"/>
      <c r="H1" s="16"/>
      <c r="I1" s="16"/>
      <c r="J1" s="16"/>
    </row>
    <row r="2" spans="1:10" ht="15.75">
      <c r="A2" s="16"/>
      <c r="B2" s="26"/>
      <c r="C2" s="26"/>
      <c r="D2" s="7" t="s">
        <v>1</v>
      </c>
      <c r="E2" s="16"/>
      <c r="F2" s="143"/>
      <c r="G2" s="26"/>
      <c r="H2" s="16"/>
      <c r="I2" s="16"/>
      <c r="J2" s="16"/>
    </row>
    <row r="3" spans="1:10" ht="15.75">
      <c r="A3" s="16"/>
      <c r="B3" s="26"/>
      <c r="C3" s="26"/>
      <c r="D3" s="1"/>
      <c r="E3" s="16"/>
      <c r="F3" s="143"/>
      <c r="G3" s="26"/>
      <c r="H3" s="16"/>
      <c r="I3" s="16"/>
      <c r="J3" s="16"/>
    </row>
    <row r="4" spans="1:10" ht="15.75">
      <c r="A4" s="16"/>
      <c r="B4" s="26"/>
      <c r="C4" s="26"/>
      <c r="D4" s="3" t="s">
        <v>54</v>
      </c>
      <c r="E4" s="16"/>
      <c r="F4" s="143"/>
      <c r="G4" s="26"/>
      <c r="H4" s="16"/>
      <c r="I4" s="16"/>
      <c r="J4" s="16"/>
    </row>
    <row r="5" spans="1:10" ht="16.5">
      <c r="A5" s="26"/>
      <c r="B5" s="17"/>
      <c r="C5" s="27"/>
      <c r="D5" s="3" t="s">
        <v>133</v>
      </c>
      <c r="E5" s="18"/>
      <c r="F5" s="144"/>
      <c r="G5" s="18"/>
      <c r="H5" s="18"/>
      <c r="I5" s="26"/>
      <c r="J5" s="26"/>
    </row>
    <row r="6" spans="1:10" ht="16.5">
      <c r="A6" s="26"/>
      <c r="B6" s="17"/>
      <c r="C6" s="27"/>
      <c r="D6" s="3"/>
      <c r="E6" s="18"/>
      <c r="F6" s="144"/>
      <c r="G6" s="18"/>
      <c r="H6" s="18"/>
      <c r="I6" s="26"/>
      <c r="J6" s="26"/>
    </row>
    <row r="7" spans="1:10" ht="16.5">
      <c r="A7" s="26"/>
      <c r="B7" s="17"/>
      <c r="C7" s="27"/>
      <c r="D7" s="27"/>
      <c r="E7" s="18"/>
      <c r="F7" s="144"/>
      <c r="G7" s="18"/>
      <c r="H7" s="18"/>
      <c r="I7" s="26"/>
      <c r="J7" s="26"/>
    </row>
    <row r="8" spans="1:10" ht="16.5">
      <c r="A8" s="26"/>
      <c r="B8" s="17"/>
      <c r="C8" s="27"/>
      <c r="D8" s="27"/>
      <c r="E8" s="18"/>
      <c r="F8" s="145" t="s">
        <v>142</v>
      </c>
      <c r="G8" s="56"/>
      <c r="H8" s="97" t="s">
        <v>146</v>
      </c>
      <c r="I8" s="26"/>
      <c r="J8" s="26"/>
    </row>
    <row r="9" spans="1:10" ht="15.75">
      <c r="A9" s="26"/>
      <c r="B9" s="29" t="s">
        <v>21</v>
      </c>
      <c r="C9" s="29" t="s">
        <v>21</v>
      </c>
      <c r="D9" s="28"/>
      <c r="E9" s="38"/>
      <c r="F9" s="146" t="s">
        <v>7</v>
      </c>
      <c r="G9" s="57"/>
      <c r="H9" s="57" t="s">
        <v>7</v>
      </c>
      <c r="I9" s="26"/>
      <c r="J9" s="26"/>
    </row>
    <row r="10" spans="1:10" ht="15.75">
      <c r="A10" s="26"/>
      <c r="B10" s="29"/>
      <c r="C10" s="29"/>
      <c r="D10" s="28"/>
      <c r="E10" s="38"/>
      <c r="F10" s="146"/>
      <c r="G10" s="57"/>
      <c r="H10" s="56"/>
      <c r="I10" s="26"/>
      <c r="J10" s="26"/>
    </row>
    <row r="11" spans="1:10" ht="15.75">
      <c r="A11" s="26"/>
      <c r="B11" s="21"/>
      <c r="C11" s="21"/>
      <c r="D11" s="31" t="s">
        <v>63</v>
      </c>
      <c r="E11" s="39"/>
      <c r="F11" s="147"/>
      <c r="G11" s="39"/>
      <c r="H11" s="39"/>
      <c r="I11" s="26"/>
      <c r="J11" s="26"/>
    </row>
    <row r="12" spans="1:10" ht="4.5" customHeight="1">
      <c r="A12" s="26"/>
      <c r="B12" s="21"/>
      <c r="C12" s="21"/>
      <c r="D12" s="31"/>
      <c r="E12" s="39"/>
      <c r="F12" s="147"/>
      <c r="G12" s="39"/>
      <c r="H12" s="39"/>
      <c r="I12" s="26"/>
      <c r="J12" s="26"/>
    </row>
    <row r="13" spans="1:10" ht="15.75">
      <c r="A13" s="26"/>
      <c r="B13" s="21"/>
      <c r="C13" s="21"/>
      <c r="D13" s="39" t="s">
        <v>128</v>
      </c>
      <c r="E13" s="39"/>
      <c r="F13" s="140">
        <f>+'I. Statements'!H48</f>
        <v>21218.77399999998</v>
      </c>
      <c r="G13" s="45"/>
      <c r="H13" s="45">
        <v>6727</v>
      </c>
      <c r="I13" s="26"/>
      <c r="J13" s="26"/>
    </row>
    <row r="14" spans="1:10" ht="15.75">
      <c r="A14" s="26"/>
      <c r="B14" s="21"/>
      <c r="C14" s="21"/>
      <c r="D14" s="31"/>
      <c r="E14" s="39"/>
      <c r="F14" s="140"/>
      <c r="G14" s="45"/>
      <c r="H14" s="45"/>
      <c r="I14" s="26"/>
      <c r="J14" s="26"/>
    </row>
    <row r="15" spans="1:10" ht="15.75">
      <c r="A15" s="26"/>
      <c r="B15" s="21"/>
      <c r="C15" s="21"/>
      <c r="D15" s="31" t="s">
        <v>64</v>
      </c>
      <c r="E15" s="39"/>
      <c r="F15" s="140"/>
      <c r="G15" s="45"/>
      <c r="H15" s="45"/>
      <c r="I15" s="26"/>
      <c r="J15" s="26"/>
    </row>
    <row r="16" spans="1:10" ht="15.75">
      <c r="A16" s="26"/>
      <c r="B16" s="21"/>
      <c r="C16" s="21"/>
      <c r="D16" s="39" t="s">
        <v>65</v>
      </c>
      <c r="E16" s="39"/>
      <c r="F16" s="140">
        <f>(4482154/1000)-F17-F18</f>
        <v>3949.9180000000006</v>
      </c>
      <c r="G16" s="45"/>
      <c r="H16" s="45">
        <f>5632-H17-H18</f>
        <v>5099.764</v>
      </c>
      <c r="I16" s="26"/>
      <c r="J16" s="26"/>
    </row>
    <row r="17" spans="1:13" s="130" customFormat="1" ht="15.75">
      <c r="A17" s="124"/>
      <c r="B17" s="125"/>
      <c r="C17" s="125"/>
      <c r="D17" s="126" t="s">
        <v>119</v>
      </c>
      <c r="E17" s="126"/>
      <c r="F17" s="140">
        <f>+(26412)/1000*3</f>
        <v>79.23599999999999</v>
      </c>
      <c r="G17" s="127"/>
      <c r="H17" s="140">
        <f>+(26412)/1000*3</f>
        <v>79.23599999999999</v>
      </c>
      <c r="I17" s="124"/>
      <c r="J17" s="124" t="s">
        <v>13</v>
      </c>
      <c r="K17" s="128"/>
      <c r="L17" s="129"/>
      <c r="M17" s="129"/>
    </row>
    <row r="18" spans="1:13" s="130" customFormat="1" ht="15.75">
      <c r="A18" s="124"/>
      <c r="B18" s="125"/>
      <c r="C18" s="125"/>
      <c r="D18" s="126" t="s">
        <v>118</v>
      </c>
      <c r="E18" s="126"/>
      <c r="F18" s="140">
        <f>151*3</f>
        <v>453</v>
      </c>
      <c r="G18" s="127"/>
      <c r="H18" s="140">
        <f>151*3</f>
        <v>453</v>
      </c>
      <c r="I18" s="124"/>
      <c r="J18" s="124"/>
      <c r="K18" s="128"/>
      <c r="L18" s="129"/>
      <c r="M18" s="129"/>
    </row>
    <row r="19" spans="1:13" ht="15.75">
      <c r="A19" s="26"/>
      <c r="B19" s="21"/>
      <c r="C19" s="21"/>
      <c r="D19" s="39" t="s">
        <v>121</v>
      </c>
      <c r="E19" s="39"/>
      <c r="F19" s="140">
        <f>17062266/1000</f>
        <v>17062.266</v>
      </c>
      <c r="G19" s="45"/>
      <c r="H19" s="45">
        <v>19570</v>
      </c>
      <c r="I19" s="26"/>
      <c r="J19" s="26"/>
      <c r="K19" s="121"/>
      <c r="L19" s="122"/>
      <c r="M19" s="122">
        <f>+(2228+38031)/1000</f>
        <v>40.259</v>
      </c>
    </row>
    <row r="20" spans="1:13" ht="15.75">
      <c r="A20" s="26"/>
      <c r="B20" s="21"/>
      <c r="C20" s="21"/>
      <c r="D20" s="39" t="s">
        <v>126</v>
      </c>
      <c r="E20" s="39"/>
      <c r="F20" s="140">
        <v>-1113</v>
      </c>
      <c r="G20" s="45"/>
      <c r="H20" s="45">
        <v>0</v>
      </c>
      <c r="I20" s="26"/>
      <c r="J20" s="26"/>
      <c r="K20" s="121"/>
      <c r="L20" s="122"/>
      <c r="M20" s="122"/>
    </row>
    <row r="21" spans="1:13" ht="15.75">
      <c r="A21" s="26"/>
      <c r="B21" s="21"/>
      <c r="C21" s="21"/>
      <c r="D21" s="39" t="s">
        <v>66</v>
      </c>
      <c r="E21" s="39"/>
      <c r="F21" s="140">
        <f>334159/1000</f>
        <v>334.159</v>
      </c>
      <c r="G21" s="45"/>
      <c r="H21" s="45">
        <v>501</v>
      </c>
      <c r="I21" s="26"/>
      <c r="J21" s="26"/>
      <c r="K21" s="121"/>
      <c r="L21" s="122"/>
      <c r="M21" s="122"/>
    </row>
    <row r="22" spans="1:10" ht="15.75">
      <c r="A22" s="26"/>
      <c r="B22" s="21"/>
      <c r="C22" s="21"/>
      <c r="D22" s="88" t="s">
        <v>131</v>
      </c>
      <c r="E22" s="39"/>
      <c r="F22" s="148">
        <f>-25039527/1000-1027395/1000</f>
        <v>-26066.922</v>
      </c>
      <c r="G22" s="45"/>
      <c r="H22" s="62">
        <v>-13706</v>
      </c>
      <c r="I22" s="26"/>
      <c r="J22" s="26"/>
    </row>
    <row r="23" spans="1:10" ht="4.5" customHeight="1">
      <c r="A23" s="26"/>
      <c r="B23" s="21"/>
      <c r="C23" s="21"/>
      <c r="D23" s="39"/>
      <c r="E23" s="39"/>
      <c r="F23" s="140"/>
      <c r="G23" s="45"/>
      <c r="H23" s="45"/>
      <c r="I23" s="26"/>
      <c r="J23" s="26"/>
    </row>
    <row r="24" spans="1:10" ht="15.75">
      <c r="A24" s="26"/>
      <c r="B24" s="21"/>
      <c r="C24" s="21"/>
      <c r="D24" s="39" t="s">
        <v>90</v>
      </c>
      <c r="E24" s="39"/>
      <c r="F24" s="140">
        <f>SUM(F13:F22)</f>
        <v>15917.430999999982</v>
      </c>
      <c r="G24" s="45"/>
      <c r="H24" s="45">
        <f>SUM(H13:H22)</f>
        <v>18724</v>
      </c>
      <c r="I24" s="26" t="s">
        <v>13</v>
      </c>
      <c r="J24" s="26"/>
    </row>
    <row r="25" spans="1:10" ht="15.75">
      <c r="A25" s="26"/>
      <c r="B25" s="21"/>
      <c r="C25" s="21"/>
      <c r="D25" s="39"/>
      <c r="E25" s="39"/>
      <c r="F25" s="140"/>
      <c r="G25" s="45"/>
      <c r="H25" s="45"/>
      <c r="I25" s="26"/>
      <c r="J25" s="26"/>
    </row>
    <row r="26" spans="1:10" ht="15.75">
      <c r="A26" s="26"/>
      <c r="B26" s="21"/>
      <c r="C26" s="21"/>
      <c r="D26" s="31" t="s">
        <v>67</v>
      </c>
      <c r="E26" s="39"/>
      <c r="F26" s="140"/>
      <c r="G26" s="45"/>
      <c r="H26" s="45"/>
      <c r="I26" s="26"/>
      <c r="J26" s="26"/>
    </row>
    <row r="27" spans="1:10" ht="15.75">
      <c r="A27" s="26"/>
      <c r="B27" s="21"/>
      <c r="C27" s="21"/>
      <c r="D27" s="39" t="s">
        <v>68</v>
      </c>
      <c r="E27" s="39"/>
      <c r="F27" s="140">
        <v>2181</v>
      </c>
      <c r="G27" s="45"/>
      <c r="H27" s="45">
        <v>-14566</v>
      </c>
      <c r="I27" s="26"/>
      <c r="J27" s="26"/>
    </row>
    <row r="28" spans="1:10" ht="15.75">
      <c r="A28" s="26"/>
      <c r="B28" s="21"/>
      <c r="C28" s="21"/>
      <c r="D28" s="39" t="s">
        <v>69</v>
      </c>
      <c r="E28" s="39"/>
      <c r="F28" s="140">
        <f>22636629/1000+5678924/1000</f>
        <v>28315.553</v>
      </c>
      <c r="G28" s="45"/>
      <c r="H28" s="45">
        <v>29709</v>
      </c>
      <c r="I28" s="26"/>
      <c r="J28" s="26"/>
    </row>
    <row r="29" spans="1:10" ht="15.75">
      <c r="A29" s="26"/>
      <c r="B29" s="21"/>
      <c r="C29" s="21"/>
      <c r="D29" s="39" t="s">
        <v>70</v>
      </c>
      <c r="E29" s="39"/>
      <c r="F29" s="140">
        <v>-8191</v>
      </c>
      <c r="G29" s="45"/>
      <c r="H29" s="45">
        <v>97078</v>
      </c>
      <c r="I29" s="26"/>
      <c r="J29" s="26"/>
    </row>
    <row r="30" spans="1:10" ht="15.75">
      <c r="A30" s="26"/>
      <c r="B30" s="21"/>
      <c r="C30" s="21"/>
      <c r="D30" s="39" t="s">
        <v>71</v>
      </c>
      <c r="E30" s="39"/>
      <c r="F30" s="148">
        <v>-26218</v>
      </c>
      <c r="G30" s="45"/>
      <c r="H30" s="62">
        <f>-68912-1194</f>
        <v>-70106</v>
      </c>
      <c r="I30" s="26"/>
      <c r="J30" s="26"/>
    </row>
    <row r="31" spans="1:10" ht="4.5" customHeight="1">
      <c r="A31" s="26"/>
      <c r="B31" s="21"/>
      <c r="C31" s="21"/>
      <c r="D31" s="31"/>
      <c r="E31" s="39"/>
      <c r="F31" s="140">
        <v>0</v>
      </c>
      <c r="G31" s="45"/>
      <c r="H31" s="45"/>
      <c r="I31" s="26"/>
      <c r="J31" s="26"/>
    </row>
    <row r="32" spans="1:10" ht="15.75">
      <c r="A32" s="26"/>
      <c r="B32" s="21"/>
      <c r="C32" s="21"/>
      <c r="D32" s="31" t="s">
        <v>125</v>
      </c>
      <c r="E32" s="39"/>
      <c r="F32" s="140">
        <f>SUM(F24:F30)</f>
        <v>12004.983999999982</v>
      </c>
      <c r="G32" s="45"/>
      <c r="H32" s="45">
        <f>SUM(H24:H30)</f>
        <v>60839</v>
      </c>
      <c r="I32" s="26" t="s">
        <v>13</v>
      </c>
      <c r="J32" s="26"/>
    </row>
    <row r="33" spans="1:10" ht="15.75">
      <c r="A33" s="26"/>
      <c r="B33" s="21"/>
      <c r="C33" s="21"/>
      <c r="D33" s="39"/>
      <c r="E33" s="39"/>
      <c r="F33" s="140"/>
      <c r="G33" s="45"/>
      <c r="H33" s="45"/>
      <c r="I33" s="26"/>
      <c r="J33" s="26"/>
    </row>
    <row r="34" spans="1:11" ht="15.75">
      <c r="A34" s="26"/>
      <c r="B34" s="21"/>
      <c r="C34" s="21"/>
      <c r="D34" s="39" t="s">
        <v>72</v>
      </c>
      <c r="E34" s="39"/>
      <c r="F34" s="140">
        <f>-16935889/1000</f>
        <v>-16935.889</v>
      </c>
      <c r="G34" s="45"/>
      <c r="H34" s="45">
        <v>-16509</v>
      </c>
      <c r="I34" s="26"/>
      <c r="K34" s="35">
        <f>+F19+F34</f>
        <v>126.37700000000041</v>
      </c>
    </row>
    <row r="35" spans="1:10" ht="15.75">
      <c r="A35" s="26"/>
      <c r="B35" s="21"/>
      <c r="C35" s="21"/>
      <c r="D35" s="39" t="s">
        <v>73</v>
      </c>
      <c r="E35" s="39"/>
      <c r="F35" s="140">
        <f>-153846/1000-2280831/1000-1224388/1000</f>
        <v>-3659.065</v>
      </c>
      <c r="G35" s="45"/>
      <c r="H35" s="45">
        <v>-16752</v>
      </c>
      <c r="I35" s="26"/>
      <c r="J35" s="26"/>
    </row>
    <row r="36" spans="1:10" ht="4.5" customHeight="1">
      <c r="A36" s="26"/>
      <c r="B36" s="21"/>
      <c r="C36" s="21"/>
      <c r="D36" s="39"/>
      <c r="E36" s="39"/>
      <c r="F36" s="140"/>
      <c r="G36" s="45"/>
      <c r="H36" s="45"/>
      <c r="I36" s="26"/>
      <c r="J36" s="26"/>
    </row>
    <row r="37" spans="1:10" ht="15.75">
      <c r="A37" s="26"/>
      <c r="B37" s="21"/>
      <c r="C37" s="21"/>
      <c r="D37" s="31" t="s">
        <v>122</v>
      </c>
      <c r="E37" s="39"/>
      <c r="F37" s="149">
        <f>SUM(F32:F35)</f>
        <v>-8589.970000000018</v>
      </c>
      <c r="G37" s="45"/>
      <c r="H37" s="64">
        <f>SUM(H32:H35)</f>
        <v>27578</v>
      </c>
      <c r="I37" s="26" t="s">
        <v>13</v>
      </c>
      <c r="J37" s="26"/>
    </row>
    <row r="38" spans="1:10" ht="15.75">
      <c r="A38" s="26"/>
      <c r="B38" s="21"/>
      <c r="C38" s="21"/>
      <c r="D38" s="39"/>
      <c r="E38" s="39"/>
      <c r="F38" s="140"/>
      <c r="G38" s="45"/>
      <c r="H38" s="45"/>
      <c r="I38" s="26"/>
      <c r="J38" s="26"/>
    </row>
    <row r="39" spans="1:10" ht="15.75">
      <c r="A39" s="26"/>
      <c r="B39" s="21"/>
      <c r="C39" s="21"/>
      <c r="D39" s="31" t="s">
        <v>74</v>
      </c>
      <c r="E39" s="39"/>
      <c r="F39" s="140"/>
      <c r="G39" s="45"/>
      <c r="H39" s="45"/>
      <c r="I39" s="26"/>
      <c r="J39" s="26"/>
    </row>
    <row r="40" spans="1:10" ht="15.75">
      <c r="A40" s="26"/>
      <c r="B40" s="21"/>
      <c r="C40" s="21"/>
      <c r="D40" s="39" t="s">
        <v>75</v>
      </c>
      <c r="E40" s="39"/>
      <c r="F40" s="140">
        <f>-354118/1000-51010/1000</f>
        <v>-405.128</v>
      </c>
      <c r="G40" s="45"/>
      <c r="H40" s="45">
        <v>-2302</v>
      </c>
      <c r="I40" s="26"/>
      <c r="J40" s="26"/>
    </row>
    <row r="41" spans="1:10" ht="15.75">
      <c r="A41" s="26"/>
      <c r="B41" s="21"/>
      <c r="C41" s="21"/>
      <c r="D41" s="39" t="s">
        <v>147</v>
      </c>
      <c r="E41" s="39"/>
      <c r="F41" s="140">
        <f>-5552-1504</f>
        <v>-7056</v>
      </c>
      <c r="G41" s="45"/>
      <c r="H41" s="45">
        <v>-277</v>
      </c>
      <c r="I41" s="26"/>
      <c r="J41" s="26"/>
    </row>
    <row r="42" spans="1:10" ht="15.75">
      <c r="A42" s="26"/>
      <c r="B42" s="21"/>
      <c r="C42" s="21"/>
      <c r="D42" s="39" t="s">
        <v>98</v>
      </c>
      <c r="E42" s="39"/>
      <c r="F42" s="140">
        <f>181984/1000</f>
        <v>181.984</v>
      </c>
      <c r="G42" s="45"/>
      <c r="H42" s="45">
        <v>119</v>
      </c>
      <c r="I42" s="26"/>
      <c r="J42" s="26"/>
    </row>
    <row r="43" spans="1:10" ht="4.5" customHeight="1">
      <c r="A43" s="26"/>
      <c r="B43" s="21"/>
      <c r="C43" s="21"/>
      <c r="D43" s="39"/>
      <c r="E43" s="39"/>
      <c r="F43" s="140"/>
      <c r="G43" s="45"/>
      <c r="H43" s="45"/>
      <c r="I43" s="26"/>
      <c r="J43" s="26"/>
    </row>
    <row r="44" spans="1:10" ht="15.75">
      <c r="A44" s="26"/>
      <c r="B44" s="21"/>
      <c r="C44" s="21"/>
      <c r="D44" s="31" t="s">
        <v>91</v>
      </c>
      <c r="E44" s="39"/>
      <c r="F44" s="149">
        <f>SUM(F40:F42)</f>
        <v>-7279.143999999999</v>
      </c>
      <c r="G44" s="45"/>
      <c r="H44" s="64">
        <f>SUM(H40:H42)</f>
        <v>-2460</v>
      </c>
      <c r="I44" s="26" t="s">
        <v>13</v>
      </c>
      <c r="J44" s="26"/>
    </row>
    <row r="45" spans="1:10" ht="15.75">
      <c r="A45" s="26"/>
      <c r="B45" s="21"/>
      <c r="C45" s="21"/>
      <c r="D45" s="39"/>
      <c r="E45" s="39"/>
      <c r="F45" s="140"/>
      <c r="G45" s="45"/>
      <c r="H45" s="45"/>
      <c r="I45" s="26"/>
      <c r="J45" s="26"/>
    </row>
    <row r="46" spans="1:10" ht="15.75">
      <c r="A46" s="26"/>
      <c r="B46" s="21"/>
      <c r="C46" s="21"/>
      <c r="D46" s="31" t="s">
        <v>76</v>
      </c>
      <c r="E46" s="39"/>
      <c r="F46" s="140"/>
      <c r="G46" s="45"/>
      <c r="H46" s="45"/>
      <c r="I46" s="26"/>
      <c r="J46" s="26"/>
    </row>
    <row r="47" spans="1:10" ht="15.75">
      <c r="A47" s="26"/>
      <c r="B47" s="21"/>
      <c r="C47" s="21"/>
      <c r="D47" s="39" t="s">
        <v>77</v>
      </c>
      <c r="E47" s="39"/>
      <c r="F47" s="140">
        <v>0</v>
      </c>
      <c r="G47" s="45"/>
      <c r="H47" s="45">
        <v>50000</v>
      </c>
      <c r="I47" s="26"/>
      <c r="J47" s="26"/>
    </row>
    <row r="48" spans="1:10" ht="15.75">
      <c r="A48" s="26"/>
      <c r="B48" s="21"/>
      <c r="C48" s="21"/>
      <c r="D48" s="39" t="s">
        <v>92</v>
      </c>
      <c r="E48" s="39"/>
      <c r="F48" s="140">
        <f>-1400-700</f>
        <v>-2100</v>
      </c>
      <c r="G48" s="45"/>
      <c r="H48" s="45">
        <v>-6460</v>
      </c>
      <c r="I48" s="26"/>
      <c r="J48" s="26"/>
    </row>
    <row r="49" spans="1:10" ht="4.5" customHeight="1">
      <c r="A49" s="26"/>
      <c r="B49" s="21"/>
      <c r="C49" s="21"/>
      <c r="D49" s="39"/>
      <c r="E49" s="39"/>
      <c r="F49" s="140"/>
      <c r="G49" s="45"/>
      <c r="H49" s="45"/>
      <c r="I49" s="26"/>
      <c r="J49" s="26"/>
    </row>
    <row r="50" spans="1:10" ht="15.75">
      <c r="A50" s="26"/>
      <c r="B50" s="21"/>
      <c r="C50" s="21"/>
      <c r="D50" s="31" t="s">
        <v>123</v>
      </c>
      <c r="E50" s="39"/>
      <c r="F50" s="149">
        <f>SUM(F47:F48)</f>
        <v>-2100</v>
      </c>
      <c r="G50" s="45"/>
      <c r="H50" s="64">
        <f>SUM(H47:H48)</f>
        <v>43540</v>
      </c>
      <c r="I50" s="26" t="s">
        <v>13</v>
      </c>
      <c r="J50" s="26"/>
    </row>
    <row r="51" spans="1:10" ht="15.75">
      <c r="A51" s="26"/>
      <c r="B51" s="21"/>
      <c r="C51" s="21"/>
      <c r="D51" s="39"/>
      <c r="E51" s="39"/>
      <c r="F51" s="140"/>
      <c r="G51" s="45"/>
      <c r="H51" s="45"/>
      <c r="I51" s="26"/>
      <c r="J51" s="26"/>
    </row>
    <row r="52" spans="1:10" ht="15.75">
      <c r="A52" s="26"/>
      <c r="B52" s="21"/>
      <c r="C52" s="21"/>
      <c r="D52" s="31" t="s">
        <v>124</v>
      </c>
      <c r="E52" s="39"/>
      <c r="F52" s="140">
        <f>+F37+F44+F50</f>
        <v>-17969.114000000016</v>
      </c>
      <c r="G52" s="45"/>
      <c r="H52" s="45">
        <f>+H37+H44+H50</f>
        <v>68658</v>
      </c>
      <c r="I52" s="26" t="s">
        <v>13</v>
      </c>
      <c r="J52" s="26"/>
    </row>
    <row r="53" spans="1:14" s="17" customFormat="1" ht="15.75">
      <c r="A53" s="26"/>
      <c r="B53" s="21">
        <v>0</v>
      </c>
      <c r="C53" s="30">
        <v>206109844</v>
      </c>
      <c r="D53" s="39"/>
      <c r="E53" s="39"/>
      <c r="F53" s="140"/>
      <c r="G53" s="45"/>
      <c r="H53" s="45"/>
      <c r="I53" s="26"/>
      <c r="J53" s="26"/>
      <c r="K53" s="71"/>
      <c r="M53" s="19"/>
      <c r="N53" s="19">
        <f>+K53-M53</f>
        <v>0</v>
      </c>
    </row>
    <row r="54" spans="1:13" s="17" customFormat="1" ht="15.75">
      <c r="A54" s="26"/>
      <c r="B54" s="21">
        <v>0</v>
      </c>
      <c r="C54" s="30">
        <v>13500000</v>
      </c>
      <c r="D54" s="31" t="s">
        <v>78</v>
      </c>
      <c r="E54" s="39"/>
      <c r="F54" s="140">
        <v>40677</v>
      </c>
      <c r="G54" s="42"/>
      <c r="H54" s="40">
        <v>-21063</v>
      </c>
      <c r="I54" s="26"/>
      <c r="J54" s="26"/>
      <c r="K54" s="71"/>
      <c r="M54" s="19"/>
    </row>
    <row r="55" spans="1:13" s="17" customFormat="1" ht="15.75">
      <c r="A55" s="26"/>
      <c r="B55" s="5">
        <f>+'[1]2BS'!$D$14</f>
        <v>21881930</v>
      </c>
      <c r="C55" s="30">
        <v>25981693</v>
      </c>
      <c r="D55" s="65"/>
      <c r="E55" s="39"/>
      <c r="F55" s="140"/>
      <c r="G55" s="13"/>
      <c r="H55" s="40"/>
      <c r="I55" s="26"/>
      <c r="J55" s="26"/>
      <c r="K55" s="71"/>
      <c r="M55" s="19"/>
    </row>
    <row r="56" spans="1:11" s="17" customFormat="1" ht="16.5" thickBot="1">
      <c r="A56" s="26"/>
      <c r="B56" s="26"/>
      <c r="C56" s="26"/>
      <c r="D56" s="31" t="s">
        <v>79</v>
      </c>
      <c r="E56" s="39"/>
      <c r="F56" s="150">
        <f>SUM(F52:F55)</f>
        <v>22707.885999999984</v>
      </c>
      <c r="G56" s="39"/>
      <c r="H56" s="59">
        <f>SUM(H52:H55)</f>
        <v>47595</v>
      </c>
      <c r="I56" s="26" t="s">
        <v>13</v>
      </c>
      <c r="J56" s="26"/>
      <c r="K56" s="71"/>
    </row>
    <row r="57" spans="1:10" ht="16.5" thickTop="1">
      <c r="A57" s="26"/>
      <c r="B57" s="26"/>
      <c r="C57" s="26"/>
      <c r="D57" s="39"/>
      <c r="E57" s="39"/>
      <c r="F57" s="147"/>
      <c r="G57" s="39"/>
      <c r="H57" s="40"/>
      <c r="I57" s="26"/>
      <c r="J57" s="26"/>
    </row>
    <row r="58" spans="1:10" ht="15.75">
      <c r="A58" s="26"/>
      <c r="B58" s="26"/>
      <c r="C58" s="26"/>
      <c r="D58" s="39"/>
      <c r="E58" s="39"/>
      <c r="F58" s="147"/>
      <c r="G58" s="39"/>
      <c r="H58" s="40"/>
      <c r="I58" s="26"/>
      <c r="J58" s="26"/>
    </row>
    <row r="59" spans="1:10" ht="15.75">
      <c r="A59" s="26"/>
      <c r="B59" s="26"/>
      <c r="C59" s="26"/>
      <c r="D59" s="39"/>
      <c r="E59" s="39"/>
      <c r="F59" s="147"/>
      <c r="G59" s="39"/>
      <c r="H59" s="40"/>
      <c r="I59" s="26"/>
      <c r="J59" s="26"/>
    </row>
    <row r="60" spans="1:10" ht="15.75">
      <c r="A60" s="26"/>
      <c r="B60" s="26"/>
      <c r="C60" s="26"/>
      <c r="D60" s="39" t="s">
        <v>55</v>
      </c>
      <c r="E60" s="39"/>
      <c r="F60" s="147"/>
      <c r="G60" s="39"/>
      <c r="H60" s="40"/>
      <c r="I60" s="26"/>
      <c r="J60" s="26"/>
    </row>
    <row r="61" spans="1:10" ht="15.75">
      <c r="A61" s="26"/>
      <c r="B61" s="26"/>
      <c r="C61" s="26"/>
      <c r="D61" s="39"/>
      <c r="E61" s="39"/>
      <c r="F61" s="147"/>
      <c r="G61" s="39"/>
      <c r="H61" s="40"/>
      <c r="I61" s="26"/>
      <c r="J61" s="26"/>
    </row>
    <row r="62" spans="1:10" ht="15.75">
      <c r="A62" s="26"/>
      <c r="B62" s="26"/>
      <c r="C62" s="26"/>
      <c r="D62" s="39"/>
      <c r="E62" s="39"/>
      <c r="F62" s="151" t="s">
        <v>37</v>
      </c>
      <c r="G62" s="39"/>
      <c r="H62" s="36" t="s">
        <v>37</v>
      </c>
      <c r="I62" s="26"/>
      <c r="J62" s="26"/>
    </row>
    <row r="63" spans="1:10" ht="15.75">
      <c r="A63" s="26"/>
      <c r="B63" s="26"/>
      <c r="C63" s="26"/>
      <c r="D63" s="39"/>
      <c r="E63" s="39"/>
      <c r="F63" s="152" t="s">
        <v>142</v>
      </c>
      <c r="G63" s="56" t="s">
        <v>13</v>
      </c>
      <c r="H63" s="56" t="s">
        <v>146</v>
      </c>
      <c r="I63" s="26"/>
      <c r="J63" s="26" t="s">
        <v>13</v>
      </c>
    </row>
    <row r="64" spans="1:10" ht="15.75">
      <c r="A64" s="26"/>
      <c r="B64" s="26"/>
      <c r="C64" s="26"/>
      <c r="D64" s="39"/>
      <c r="E64" s="39"/>
      <c r="F64" s="146" t="s">
        <v>7</v>
      </c>
      <c r="G64" s="57"/>
      <c r="H64" s="57" t="s">
        <v>7</v>
      </c>
      <c r="I64" s="26"/>
      <c r="J64" s="26"/>
    </row>
    <row r="65" spans="1:10" ht="15.75">
      <c r="A65" s="26"/>
      <c r="B65" s="26"/>
      <c r="C65" s="26"/>
      <c r="D65" s="39"/>
      <c r="E65" s="39"/>
      <c r="F65" s="147"/>
      <c r="G65" s="39"/>
      <c r="H65" s="40"/>
      <c r="I65" s="26"/>
      <c r="J65" s="26"/>
    </row>
    <row r="66" spans="1:10" ht="15.75">
      <c r="A66" s="26"/>
      <c r="B66" s="26"/>
      <c r="C66" s="26"/>
      <c r="D66" s="39" t="s">
        <v>56</v>
      </c>
      <c r="E66" s="39"/>
      <c r="F66" s="140">
        <f>((15373902+8500000)/1000)-F67</f>
        <v>15347.976999999999</v>
      </c>
      <c r="G66" s="45"/>
      <c r="H66" s="45">
        <v>16407</v>
      </c>
      <c r="I66" s="26"/>
      <c r="J66" s="26"/>
    </row>
    <row r="67" spans="1:10" ht="15.75">
      <c r="A67" s="26"/>
      <c r="B67" s="26"/>
      <c r="C67" s="26"/>
      <c r="D67" s="39" t="s">
        <v>149</v>
      </c>
      <c r="E67" s="39"/>
      <c r="F67" s="140">
        <f>25.925+8500</f>
        <v>8525.925</v>
      </c>
      <c r="G67" s="45"/>
      <c r="H67" s="45">
        <v>8526</v>
      </c>
      <c r="I67" s="26"/>
      <c r="J67" s="26"/>
    </row>
    <row r="68" spans="1:10" ht="15.75">
      <c r="A68" s="26"/>
      <c r="B68" s="26"/>
      <c r="C68" s="26"/>
      <c r="D68" s="39" t="s">
        <v>127</v>
      </c>
      <c r="E68" s="39"/>
      <c r="F68" s="140">
        <f>44177937/1000-8500</f>
        <v>35677.937</v>
      </c>
      <c r="G68" s="45"/>
      <c r="H68" s="45">
        <v>69966</v>
      </c>
      <c r="I68" s="26" t="s">
        <v>13</v>
      </c>
      <c r="J68" s="26"/>
    </row>
    <row r="69" spans="1:10" ht="15.75">
      <c r="A69" s="26"/>
      <c r="B69" s="26"/>
      <c r="C69" s="26"/>
      <c r="D69" s="39" t="s">
        <v>57</v>
      </c>
      <c r="E69" s="39"/>
      <c r="F69" s="140">
        <f>-36844264/1000</f>
        <v>-36844.264</v>
      </c>
      <c r="G69" s="45"/>
      <c r="H69" s="45">
        <v>-47304</v>
      </c>
      <c r="I69" s="26"/>
      <c r="J69" s="26" t="s">
        <v>13</v>
      </c>
    </row>
    <row r="70" spans="1:10" ht="16.5" thickBot="1">
      <c r="A70" s="26"/>
      <c r="B70" s="26"/>
      <c r="C70" s="26"/>
      <c r="D70" s="39"/>
      <c r="E70" s="39"/>
      <c r="F70" s="153">
        <f>SUM(F66:F69)</f>
        <v>22707.57499999999</v>
      </c>
      <c r="G70" s="45"/>
      <c r="H70" s="63">
        <f>SUM(H66:H69)</f>
        <v>47595</v>
      </c>
      <c r="I70" s="26" t="s">
        <v>13</v>
      </c>
      <c r="J70" s="26"/>
    </row>
    <row r="71" spans="1:10" ht="16.5" thickTop="1">
      <c r="A71" s="26"/>
      <c r="B71" s="26"/>
      <c r="C71" s="26"/>
      <c r="D71" s="39"/>
      <c r="E71" s="39"/>
      <c r="F71" s="147"/>
      <c r="G71" s="39"/>
      <c r="H71" s="40"/>
      <c r="I71" s="26"/>
      <c r="J71" s="26"/>
    </row>
    <row r="72" spans="1:10" ht="15.75">
      <c r="A72" s="26"/>
      <c r="B72" s="26"/>
      <c r="C72" s="26"/>
      <c r="D72" s="39"/>
      <c r="E72" s="39"/>
      <c r="F72" s="147"/>
      <c r="G72" s="39"/>
      <c r="H72" s="40"/>
      <c r="I72" s="26"/>
      <c r="J72" s="26"/>
    </row>
    <row r="73" spans="1:10" ht="15.75">
      <c r="A73" s="26"/>
      <c r="B73" s="26"/>
      <c r="C73" s="26"/>
      <c r="D73" s="173" t="s">
        <v>151</v>
      </c>
      <c r="E73" s="39"/>
      <c r="F73" s="147"/>
      <c r="G73" s="39"/>
      <c r="H73" s="40"/>
      <c r="I73" s="26"/>
      <c r="J73" s="26"/>
    </row>
    <row r="74" spans="1:10" ht="15.75">
      <c r="A74" s="26"/>
      <c r="B74" s="26"/>
      <c r="C74" s="26"/>
      <c r="D74" s="173" t="s">
        <v>150</v>
      </c>
      <c r="E74" s="39"/>
      <c r="F74" s="147"/>
      <c r="G74" s="39"/>
      <c r="H74" s="40"/>
      <c r="I74" s="26"/>
      <c r="J74" s="26"/>
    </row>
    <row r="75" spans="1:10" ht="15.75">
      <c r="A75" s="26"/>
      <c r="B75" s="26"/>
      <c r="C75" s="26"/>
      <c r="D75" s="39"/>
      <c r="E75" s="39"/>
      <c r="F75" s="147"/>
      <c r="G75" s="39"/>
      <c r="H75" s="40"/>
      <c r="I75" s="26"/>
      <c r="J75" s="26"/>
    </row>
    <row r="76" spans="1:10" ht="15.75">
      <c r="A76" s="26"/>
      <c r="B76" s="26"/>
      <c r="C76" s="26"/>
      <c r="D76" s="39"/>
      <c r="E76" s="39"/>
      <c r="F76" s="147"/>
      <c r="G76" s="39"/>
      <c r="H76" s="40"/>
      <c r="I76" s="26"/>
      <c r="J76" s="26"/>
    </row>
    <row r="77" spans="1:13" s="130" customFormat="1" ht="15.75">
      <c r="A77" s="124"/>
      <c r="B77" s="124"/>
      <c r="C77" s="124"/>
      <c r="D77" s="88" t="s">
        <v>88</v>
      </c>
      <c r="E77" s="126"/>
      <c r="F77" s="147"/>
      <c r="G77" s="126"/>
      <c r="H77" s="67"/>
      <c r="I77" s="124"/>
      <c r="J77" s="124"/>
      <c r="K77" s="128"/>
      <c r="L77" s="129"/>
      <c r="M77" s="129"/>
    </row>
    <row r="78" spans="1:13" s="130" customFormat="1" ht="15.75">
      <c r="A78" s="124"/>
      <c r="B78" s="124"/>
      <c r="C78" s="124"/>
      <c r="D78" s="88" t="s">
        <v>117</v>
      </c>
      <c r="E78" s="126"/>
      <c r="F78" s="147"/>
      <c r="G78" s="126"/>
      <c r="H78" s="67"/>
      <c r="I78" s="124"/>
      <c r="J78" s="124"/>
      <c r="K78" s="128"/>
      <c r="L78" s="129"/>
      <c r="M78" s="129"/>
    </row>
    <row r="79" spans="1:13" s="130" customFormat="1" ht="15.75">
      <c r="A79" s="124"/>
      <c r="B79" s="124"/>
      <c r="C79" s="124"/>
      <c r="D79" s="88" t="s">
        <v>89</v>
      </c>
      <c r="E79" s="126"/>
      <c r="F79" s="147"/>
      <c r="G79" s="126"/>
      <c r="H79" s="67"/>
      <c r="I79" s="124"/>
      <c r="J79" s="124"/>
      <c r="K79" s="128"/>
      <c r="L79" s="129"/>
      <c r="M79" s="129"/>
    </row>
    <row r="80" spans="1:10" ht="15.75">
      <c r="A80" s="26"/>
      <c r="B80" s="26"/>
      <c r="C80" s="26"/>
      <c r="D80" s="39"/>
      <c r="E80" s="39"/>
      <c r="F80" s="147"/>
      <c r="G80" s="39"/>
      <c r="H80" s="40"/>
      <c r="I80" s="26"/>
      <c r="J80" s="26"/>
    </row>
    <row r="81" spans="1:10" ht="15.75">
      <c r="A81" s="26"/>
      <c r="B81" s="26"/>
      <c r="C81" s="26"/>
      <c r="D81" s="39"/>
      <c r="E81" s="39"/>
      <c r="F81" s="147"/>
      <c r="G81" s="39"/>
      <c r="H81" s="40"/>
      <c r="I81" s="26"/>
      <c r="J81" s="26"/>
    </row>
    <row r="82" spans="1:10" ht="15.75">
      <c r="A82" s="26"/>
      <c r="B82" s="26"/>
      <c r="C82" s="26"/>
      <c r="D82" s="39"/>
      <c r="E82" s="39"/>
      <c r="F82" s="147"/>
      <c r="G82" s="39"/>
      <c r="H82" s="40"/>
      <c r="I82" s="26"/>
      <c r="J82" s="26"/>
    </row>
    <row r="83" spans="1:10" ht="15.75">
      <c r="A83" s="26"/>
      <c r="B83" s="35" t="e">
        <f>+#REF!-#REF!</f>
        <v>#REF!</v>
      </c>
      <c r="C83" s="35" t="e">
        <f>+#REF!-#REF!</f>
        <v>#REF!</v>
      </c>
      <c r="D83" s="39"/>
      <c r="E83" s="39"/>
      <c r="F83" s="154">
        <f>+F56-F70</f>
        <v>0.31099999999423744</v>
      </c>
      <c r="G83" s="46"/>
      <c r="H83" s="46">
        <f>+H56-H70</f>
        <v>0</v>
      </c>
      <c r="I83" s="26"/>
      <c r="J83" s="26"/>
    </row>
    <row r="84" spans="1:10" ht="15.75">
      <c r="A84" s="26"/>
      <c r="B84" s="26"/>
      <c r="C84" s="26"/>
      <c r="D84" s="47" t="s">
        <v>13</v>
      </c>
      <c r="E84" s="47"/>
      <c r="F84" s="155" t="s">
        <v>13</v>
      </c>
      <c r="G84" s="47"/>
      <c r="H84" s="48"/>
      <c r="I84" s="26"/>
      <c r="J84" s="26"/>
    </row>
    <row r="85" spans="1:10" ht="15.75">
      <c r="A85" s="26"/>
      <c r="B85" s="26"/>
      <c r="C85" s="26"/>
      <c r="D85" s="49" t="s">
        <v>13</v>
      </c>
      <c r="E85" s="49"/>
      <c r="F85" s="156"/>
      <c r="G85" s="49"/>
      <c r="H85" s="48" t="s">
        <v>13</v>
      </c>
      <c r="I85" s="26"/>
      <c r="J85" s="26"/>
    </row>
    <row r="86" spans="1:10" ht="15.75">
      <c r="A86" s="26"/>
      <c r="B86" s="26"/>
      <c r="C86" s="26"/>
      <c r="D86" s="49"/>
      <c r="E86" s="49"/>
      <c r="F86" s="157"/>
      <c r="G86" s="49"/>
      <c r="H86" s="49"/>
      <c r="I86" s="26"/>
      <c r="J86" s="26"/>
    </row>
    <row r="87" spans="1:10" ht="15.75">
      <c r="A87" s="26"/>
      <c r="B87" s="26"/>
      <c r="C87" s="26"/>
      <c r="D87" s="47"/>
      <c r="E87" s="47"/>
      <c r="F87" s="140">
        <f>1085872+591912.45</f>
        <v>1677784.45</v>
      </c>
      <c r="G87" s="47"/>
      <c r="H87" s="50"/>
      <c r="I87" s="26"/>
      <c r="J87" s="26"/>
    </row>
    <row r="88" spans="1:10" ht="15.75">
      <c r="A88" s="26"/>
      <c r="B88" s="35"/>
      <c r="C88" s="35"/>
      <c r="D88" s="51"/>
      <c r="E88" s="47"/>
      <c r="F88" s="140">
        <f>3693234+344200</f>
        <v>4037434</v>
      </c>
      <c r="G88" s="46"/>
      <c r="H88" s="46"/>
      <c r="I88" s="26"/>
      <c r="J88" s="26"/>
    </row>
    <row r="89" spans="1:10" ht="15.75">
      <c r="A89" s="26"/>
      <c r="B89" s="37"/>
      <c r="C89" s="37"/>
      <c r="D89" s="51"/>
      <c r="E89" s="47"/>
      <c r="F89" s="158">
        <f>SUM(F87:F88)</f>
        <v>5715218.45</v>
      </c>
      <c r="G89" s="50"/>
      <c r="H89" s="50"/>
      <c r="I89" s="26"/>
      <c r="J89" s="26"/>
    </row>
    <row r="90" spans="1:10" ht="15.75">
      <c r="A90" s="26"/>
      <c r="B90" s="26"/>
      <c r="C90" s="26"/>
      <c r="D90" s="47"/>
      <c r="E90" s="47"/>
      <c r="F90" s="159">
        <f>+F89/1000</f>
        <v>5715.21845</v>
      </c>
      <c r="G90" s="47"/>
      <c r="H90" s="50"/>
      <c r="I90" s="26"/>
      <c r="J90" s="26"/>
    </row>
    <row r="91" spans="1:10" ht="15.75">
      <c r="A91" s="26"/>
      <c r="B91" s="26"/>
      <c r="C91" s="26"/>
      <c r="D91" s="47"/>
      <c r="E91" s="47"/>
      <c r="F91" s="155"/>
      <c r="G91" s="47"/>
      <c r="H91" s="50"/>
      <c r="I91" s="26"/>
      <c r="J91" s="26"/>
    </row>
    <row r="92" spans="1:10" ht="15.75">
      <c r="A92" s="26"/>
      <c r="B92" s="26"/>
      <c r="C92" s="26"/>
      <c r="D92" s="47"/>
      <c r="E92" s="47"/>
      <c r="F92" s="155"/>
      <c r="G92" s="47"/>
      <c r="H92" s="52"/>
      <c r="I92" s="26"/>
      <c r="J92" s="26"/>
    </row>
    <row r="93" spans="1:10" ht="15.75">
      <c r="A93" s="26"/>
      <c r="B93" s="26"/>
      <c r="C93" s="26"/>
      <c r="D93" s="47"/>
      <c r="E93" s="47"/>
      <c r="F93" s="159">
        <f>+'B. Sheets'!F28</f>
        <v>59551.839</v>
      </c>
      <c r="G93" s="47"/>
      <c r="H93" s="50"/>
      <c r="I93" s="26"/>
      <c r="J93" s="26"/>
    </row>
    <row r="94" spans="1:10" ht="15.75">
      <c r="A94" s="26"/>
      <c r="B94" s="26"/>
      <c r="C94" s="26"/>
      <c r="D94" s="47"/>
      <c r="E94" s="47"/>
      <c r="F94" s="159">
        <f>+F90+F93</f>
        <v>65267.05745</v>
      </c>
      <c r="G94" s="47"/>
      <c r="H94" s="50"/>
      <c r="I94" s="26"/>
      <c r="J94" s="26"/>
    </row>
    <row r="95" spans="1:10" ht="15.75">
      <c r="A95" s="26"/>
      <c r="B95" s="26"/>
      <c r="C95" s="26"/>
      <c r="D95" s="47"/>
      <c r="E95" s="47"/>
      <c r="F95" s="154">
        <f>+F69</f>
        <v>-36844.264</v>
      </c>
      <c r="G95" s="47"/>
      <c r="H95" s="50"/>
      <c r="I95" s="26"/>
      <c r="J95" s="26"/>
    </row>
    <row r="96" spans="1:10" ht="15.75">
      <c r="A96" s="26"/>
      <c r="B96" s="26"/>
      <c r="C96" s="26"/>
      <c r="D96" s="47"/>
      <c r="E96" s="47"/>
      <c r="F96" s="154">
        <f>+F94+F95</f>
        <v>28422.793449999997</v>
      </c>
      <c r="G96" s="47"/>
      <c r="H96" s="50"/>
      <c r="I96" s="26"/>
      <c r="J96" s="26"/>
    </row>
    <row r="97" spans="1:10" ht="15.75">
      <c r="A97" s="26"/>
      <c r="B97" s="26"/>
      <c r="C97" s="26"/>
      <c r="D97" s="47"/>
      <c r="E97" s="47"/>
      <c r="F97" s="155"/>
      <c r="G97" s="47"/>
      <c r="H97" s="50"/>
      <c r="I97" s="26"/>
      <c r="J97" s="26"/>
    </row>
    <row r="98" spans="1:10" ht="15.75">
      <c r="A98" s="26"/>
      <c r="B98" s="26"/>
      <c r="C98" s="26"/>
      <c r="D98" s="47"/>
      <c r="E98" s="47"/>
      <c r="F98" s="155"/>
      <c r="G98" s="47"/>
      <c r="H98" s="50"/>
      <c r="I98" s="26"/>
      <c r="J98" s="26"/>
    </row>
    <row r="99" spans="1:10" ht="15.75">
      <c r="A99" s="26"/>
      <c r="B99" s="26"/>
      <c r="C99" s="26"/>
      <c r="D99" s="47"/>
      <c r="E99" s="47"/>
      <c r="F99" s="155"/>
      <c r="G99" s="47"/>
      <c r="H99" s="50"/>
      <c r="I99" s="26"/>
      <c r="J99" s="26"/>
    </row>
    <row r="100" spans="1:10" ht="15.75">
      <c r="A100" s="26"/>
      <c r="B100" s="26"/>
      <c r="C100" s="26"/>
      <c r="D100" s="47"/>
      <c r="E100" s="47"/>
      <c r="F100" s="155"/>
      <c r="G100" s="47"/>
      <c r="H100" s="50"/>
      <c r="I100" s="26"/>
      <c r="J100" s="26"/>
    </row>
    <row r="101" spans="1:10" ht="15.75">
      <c r="A101" s="26"/>
      <c r="B101" s="26"/>
      <c r="C101" s="26"/>
      <c r="D101" s="47"/>
      <c r="E101" s="47"/>
      <c r="F101" s="155"/>
      <c r="G101" s="47"/>
      <c r="H101" s="50"/>
      <c r="I101" s="26"/>
      <c r="J101" s="26"/>
    </row>
    <row r="102" spans="1:10" ht="15.75">
      <c r="A102" s="26"/>
      <c r="B102" s="26"/>
      <c r="C102" s="26"/>
      <c r="D102" s="47"/>
      <c r="E102" s="47"/>
      <c r="F102" s="155"/>
      <c r="G102" s="47"/>
      <c r="H102" s="50"/>
      <c r="I102" s="26"/>
      <c r="J102" s="26"/>
    </row>
    <row r="103" spans="1:10" ht="15.75">
      <c r="A103" s="26"/>
      <c r="B103" s="26"/>
      <c r="C103" s="26"/>
      <c r="D103" s="47"/>
      <c r="E103" s="47"/>
      <c r="F103" s="155"/>
      <c r="G103" s="47"/>
      <c r="H103" s="50"/>
      <c r="I103" s="26"/>
      <c r="J103" s="26"/>
    </row>
    <row r="104" spans="1:10" ht="15.75">
      <c r="A104" s="26"/>
      <c r="B104" s="26"/>
      <c r="C104" s="26"/>
      <c r="D104" s="47"/>
      <c r="E104" s="47"/>
      <c r="F104" s="155"/>
      <c r="G104" s="47"/>
      <c r="H104" s="50"/>
      <c r="I104" s="26"/>
      <c r="J104" s="26"/>
    </row>
    <row r="105" spans="1:10" ht="15.75">
      <c r="A105" s="26"/>
      <c r="B105" s="26"/>
      <c r="C105" s="26"/>
      <c r="D105" s="47"/>
      <c r="E105" s="47"/>
      <c r="F105" s="155"/>
      <c r="G105" s="47"/>
      <c r="H105" s="50"/>
      <c r="I105" s="26"/>
      <c r="J105" s="26"/>
    </row>
    <row r="106" spans="1:10" ht="15.75">
      <c r="A106" s="26"/>
      <c r="B106" s="26"/>
      <c r="C106" s="26"/>
      <c r="D106" s="47"/>
      <c r="E106" s="47"/>
      <c r="F106" s="155"/>
      <c r="G106" s="47"/>
      <c r="H106" s="50"/>
      <c r="I106" s="26"/>
      <c r="J106" s="26"/>
    </row>
    <row r="107" spans="1:10" ht="15.75">
      <c r="A107" s="26"/>
      <c r="B107" s="26"/>
      <c r="C107" s="26"/>
      <c r="D107" s="47"/>
      <c r="E107" s="47"/>
      <c r="F107" s="155"/>
      <c r="G107" s="47"/>
      <c r="H107" s="50"/>
      <c r="I107" s="26"/>
      <c r="J107" s="26"/>
    </row>
    <row r="108" spans="1:10" ht="15.75">
      <c r="A108" s="26"/>
      <c r="B108" s="26"/>
      <c r="C108" s="26"/>
      <c r="D108" s="47"/>
      <c r="E108" s="47"/>
      <c r="F108" s="155"/>
      <c r="G108" s="47"/>
      <c r="H108" s="50"/>
      <c r="I108" s="26"/>
      <c r="J108" s="26"/>
    </row>
    <row r="109" spans="1:10" ht="14.25">
      <c r="A109" s="17"/>
      <c r="B109" s="17"/>
      <c r="C109" s="17"/>
      <c r="D109" s="49"/>
      <c r="E109" s="49"/>
      <c r="F109" s="156"/>
      <c r="G109" s="49"/>
      <c r="H109" s="53"/>
      <c r="I109" s="17"/>
      <c r="J109" s="17"/>
    </row>
    <row r="110" spans="1:10" ht="14.25">
      <c r="A110" s="17"/>
      <c r="B110" s="17"/>
      <c r="C110" s="17"/>
      <c r="D110" s="49"/>
      <c r="E110" s="49"/>
      <c r="F110" s="156"/>
      <c r="G110" s="49"/>
      <c r="H110" s="53"/>
      <c r="I110" s="17"/>
      <c r="J110" s="17"/>
    </row>
    <row r="111" spans="4:8" ht="14.25">
      <c r="D111" s="54"/>
      <c r="E111" s="54"/>
      <c r="F111" s="160"/>
      <c r="G111" s="49"/>
      <c r="H111" s="55"/>
    </row>
    <row r="112" ht="14.25">
      <c r="H112" s="25"/>
    </row>
    <row r="113" ht="14.25">
      <c r="H113" s="25"/>
    </row>
    <row r="114" ht="14.25">
      <c r="H114" s="25"/>
    </row>
    <row r="115" ht="14.25">
      <c r="H115" s="25"/>
    </row>
    <row r="116" ht="14.25">
      <c r="H116" s="25"/>
    </row>
    <row r="117" ht="14.25">
      <c r="H117" s="25"/>
    </row>
    <row r="118" ht="14.25">
      <c r="H118" s="25"/>
    </row>
    <row r="119" ht="14.25">
      <c r="H119" s="25"/>
    </row>
    <row r="120" ht="14.25">
      <c r="H120" s="25"/>
    </row>
    <row r="121" ht="14.25">
      <c r="H121" s="25"/>
    </row>
    <row r="122" ht="14.25">
      <c r="H122" s="25"/>
    </row>
    <row r="123" ht="14.25">
      <c r="H123" s="25"/>
    </row>
    <row r="124" ht="14.25">
      <c r="H124" s="25"/>
    </row>
    <row r="125" ht="14.25">
      <c r="H125" s="25"/>
    </row>
    <row r="126" ht="14.25">
      <c r="H126" s="25"/>
    </row>
    <row r="127" ht="14.25">
      <c r="H127" s="25"/>
    </row>
    <row r="128" ht="14.25">
      <c r="H128" s="25"/>
    </row>
    <row r="129" ht="14.25">
      <c r="H129" s="25"/>
    </row>
    <row r="130" ht="14.25">
      <c r="H130" s="25"/>
    </row>
    <row r="131" ht="14.25">
      <c r="H131" s="25"/>
    </row>
    <row r="132" ht="14.25">
      <c r="H132" s="25"/>
    </row>
    <row r="133" ht="14.25">
      <c r="H133" s="25"/>
    </row>
    <row r="134" ht="14.25">
      <c r="H134" s="25"/>
    </row>
    <row r="135" ht="14.25">
      <c r="H135" s="25"/>
    </row>
    <row r="136" ht="14.25">
      <c r="H136" s="25"/>
    </row>
    <row r="137" ht="14.25">
      <c r="H137" s="25"/>
    </row>
    <row r="138" ht="14.25">
      <c r="H138" s="25"/>
    </row>
    <row r="139" ht="14.25">
      <c r="H139" s="25"/>
    </row>
    <row r="140" ht="14.25">
      <c r="H140" s="25"/>
    </row>
    <row r="141" ht="14.25">
      <c r="H141" s="25"/>
    </row>
    <row r="142" ht="14.25">
      <c r="H142" s="25"/>
    </row>
    <row r="143" ht="14.25">
      <c r="H143" s="25"/>
    </row>
    <row r="144" ht="14.25">
      <c r="H144" s="25"/>
    </row>
    <row r="145" ht="14.25">
      <c r="H145" s="25"/>
    </row>
    <row r="146" ht="14.25">
      <c r="H146" s="25"/>
    </row>
    <row r="147" ht="14.25">
      <c r="H147" s="25"/>
    </row>
    <row r="148" ht="14.25">
      <c r="H148" s="25"/>
    </row>
    <row r="149" ht="14.25">
      <c r="H149" s="25"/>
    </row>
    <row r="150" ht="14.25">
      <c r="H150" s="25"/>
    </row>
    <row r="151" ht="14.25">
      <c r="H151" s="25"/>
    </row>
    <row r="152" ht="14.25">
      <c r="H152" s="25"/>
    </row>
    <row r="153" ht="14.25">
      <c r="H153" s="25"/>
    </row>
    <row r="154" ht="14.25">
      <c r="H154" s="25"/>
    </row>
    <row r="155" ht="14.25">
      <c r="H155" s="25"/>
    </row>
    <row r="156" ht="14.25">
      <c r="H156" s="25"/>
    </row>
    <row r="157" ht="14.25">
      <c r="H157" s="25"/>
    </row>
    <row r="158" ht="14.25">
      <c r="H158" s="25"/>
    </row>
    <row r="159" ht="14.25">
      <c r="H159" s="25"/>
    </row>
    <row r="160" ht="14.25">
      <c r="H160" s="25"/>
    </row>
    <row r="161" ht="14.25">
      <c r="H161" s="25"/>
    </row>
    <row r="162" ht="14.25">
      <c r="H162" s="25"/>
    </row>
    <row r="163" ht="14.25">
      <c r="H163" s="25"/>
    </row>
    <row r="164" ht="14.25">
      <c r="H164" s="25"/>
    </row>
    <row r="165" ht="14.25">
      <c r="H165" s="25"/>
    </row>
    <row r="166" ht="14.25">
      <c r="H166" s="25"/>
    </row>
    <row r="167" ht="14.25">
      <c r="H167" s="25"/>
    </row>
    <row r="168" ht="14.25">
      <c r="H168" s="25"/>
    </row>
    <row r="169" ht="14.25">
      <c r="H169" s="25"/>
    </row>
    <row r="170" ht="14.25">
      <c r="H170" s="25"/>
    </row>
    <row r="171" ht="14.25">
      <c r="H171" s="25"/>
    </row>
    <row r="172" ht="14.25">
      <c r="H172" s="25"/>
    </row>
    <row r="173" ht="14.25">
      <c r="H173" s="25"/>
    </row>
    <row r="174" ht="14.25">
      <c r="H174" s="25"/>
    </row>
    <row r="175" ht="14.25">
      <c r="H175" s="25"/>
    </row>
    <row r="176" ht="14.25">
      <c r="H176" s="25"/>
    </row>
    <row r="177" ht="14.25">
      <c r="H177" s="25"/>
    </row>
    <row r="178" ht="14.25">
      <c r="H178" s="25"/>
    </row>
    <row r="179" ht="14.25">
      <c r="H179" s="25"/>
    </row>
    <row r="180" ht="14.25">
      <c r="H180" s="25"/>
    </row>
    <row r="181" ht="14.25">
      <c r="H181" s="25"/>
    </row>
    <row r="182" ht="14.25">
      <c r="H182" s="25"/>
    </row>
    <row r="183" ht="14.25">
      <c r="H183" s="25"/>
    </row>
    <row r="184" ht="14.25">
      <c r="H184" s="25"/>
    </row>
    <row r="185" ht="14.25">
      <c r="H185" s="25"/>
    </row>
    <row r="186" ht="14.25">
      <c r="H186" s="25"/>
    </row>
    <row r="187" ht="14.25">
      <c r="H187" s="25"/>
    </row>
    <row r="188" ht="14.25">
      <c r="H188" s="25"/>
    </row>
    <row r="189" ht="14.25">
      <c r="H189" s="25"/>
    </row>
    <row r="190" ht="14.25">
      <c r="H190" s="25"/>
    </row>
    <row r="191" ht="14.25">
      <c r="H191" s="25"/>
    </row>
    <row r="192" ht="14.25">
      <c r="H192" s="25"/>
    </row>
    <row r="193" ht="14.25">
      <c r="H193" s="25"/>
    </row>
    <row r="194" ht="14.25">
      <c r="H194" s="25"/>
    </row>
    <row r="195" ht="14.25">
      <c r="H195" s="25"/>
    </row>
    <row r="196" ht="14.25">
      <c r="H196" s="25"/>
    </row>
    <row r="197" ht="14.25">
      <c r="H197" s="25"/>
    </row>
    <row r="198" ht="14.25">
      <c r="H198" s="25"/>
    </row>
    <row r="199" ht="14.25">
      <c r="H199" s="25"/>
    </row>
    <row r="200" ht="14.25">
      <c r="H200" s="25"/>
    </row>
    <row r="201" ht="14.25">
      <c r="H201" s="25"/>
    </row>
    <row r="202" ht="14.25">
      <c r="H202" s="25"/>
    </row>
    <row r="203" ht="14.25">
      <c r="H203" s="25"/>
    </row>
    <row r="204" ht="14.25">
      <c r="H204" s="25"/>
    </row>
    <row r="205" ht="14.25">
      <c r="H205" s="25"/>
    </row>
    <row r="206" ht="14.25">
      <c r="H206" s="25"/>
    </row>
    <row r="207" ht="14.25">
      <c r="H207" s="25"/>
    </row>
    <row r="208" ht="14.25">
      <c r="H208" s="25"/>
    </row>
    <row r="209" ht="14.25">
      <c r="H209" s="25"/>
    </row>
    <row r="210" ht="14.25">
      <c r="H210" s="25"/>
    </row>
    <row r="211" ht="14.25">
      <c r="H211" s="25"/>
    </row>
    <row r="212" ht="14.25">
      <c r="H212" s="25"/>
    </row>
    <row r="213" ht="14.25">
      <c r="H213" s="25"/>
    </row>
    <row r="214" ht="14.25">
      <c r="H214" s="25"/>
    </row>
    <row r="215" ht="14.25">
      <c r="H215" s="25"/>
    </row>
    <row r="216" ht="14.25">
      <c r="H216" s="25"/>
    </row>
    <row r="217" ht="14.25">
      <c r="H217" s="25"/>
    </row>
    <row r="218" ht="14.25">
      <c r="H218" s="25"/>
    </row>
    <row r="219" ht="14.25">
      <c r="H219" s="25"/>
    </row>
    <row r="220" ht="14.25">
      <c r="H220" s="25"/>
    </row>
    <row r="221" ht="14.25">
      <c r="H221" s="25"/>
    </row>
    <row r="222" ht="14.25">
      <c r="H222" s="25"/>
    </row>
    <row r="223" ht="14.25">
      <c r="H223" s="25"/>
    </row>
    <row r="224" ht="14.25">
      <c r="H224" s="25"/>
    </row>
    <row r="225" ht="14.25">
      <c r="H225" s="25"/>
    </row>
    <row r="226" ht="14.25">
      <c r="H226" s="25"/>
    </row>
    <row r="227" ht="14.25">
      <c r="H227" s="25"/>
    </row>
    <row r="228" ht="14.25">
      <c r="H228" s="25"/>
    </row>
    <row r="229" ht="14.25">
      <c r="H229" s="25"/>
    </row>
    <row r="230" ht="14.25">
      <c r="H230" s="25"/>
    </row>
    <row r="231" ht="14.25">
      <c r="H231" s="25"/>
    </row>
    <row r="232" ht="14.25">
      <c r="H232" s="25"/>
    </row>
    <row r="233" ht="14.25">
      <c r="H233" s="25"/>
    </row>
    <row r="234" ht="14.25">
      <c r="H234" s="25"/>
    </row>
    <row r="235" ht="14.25">
      <c r="H235" s="25"/>
    </row>
    <row r="236" ht="14.25">
      <c r="H236" s="25"/>
    </row>
    <row r="237" ht="14.25">
      <c r="H237" s="25"/>
    </row>
    <row r="238" ht="14.25">
      <c r="H238" s="25"/>
    </row>
    <row r="239" ht="14.25">
      <c r="H239" s="25"/>
    </row>
    <row r="240" ht="14.25">
      <c r="H240" s="25"/>
    </row>
    <row r="241" ht="14.25">
      <c r="H241" s="25"/>
    </row>
    <row r="242" ht="14.25">
      <c r="H242" s="25"/>
    </row>
    <row r="243" ht="14.25">
      <c r="H243" s="25"/>
    </row>
    <row r="244" ht="14.25">
      <c r="H244" s="25"/>
    </row>
    <row r="245" ht="14.25">
      <c r="H245" s="25"/>
    </row>
    <row r="246" ht="14.25">
      <c r="H246" s="25"/>
    </row>
    <row r="247" ht="14.25">
      <c r="H247" s="25"/>
    </row>
    <row r="248" ht="14.25">
      <c r="H248" s="25"/>
    </row>
    <row r="249" ht="14.25">
      <c r="H249" s="25"/>
    </row>
    <row r="250" ht="14.25">
      <c r="H250" s="25"/>
    </row>
    <row r="251" ht="14.25">
      <c r="H251" s="25"/>
    </row>
    <row r="252" ht="14.25">
      <c r="H252" s="25"/>
    </row>
    <row r="253" ht="14.25">
      <c r="H253" s="25"/>
    </row>
    <row r="254" ht="14.25">
      <c r="H254" s="25"/>
    </row>
    <row r="255" ht="14.25">
      <c r="H255" s="25"/>
    </row>
    <row r="256" ht="14.25">
      <c r="H256" s="25"/>
    </row>
    <row r="257" ht="14.25">
      <c r="H257" s="25"/>
    </row>
    <row r="258" ht="14.25">
      <c r="H258" s="25"/>
    </row>
    <row r="259" ht="14.25">
      <c r="H259" s="25"/>
    </row>
    <row r="260" ht="14.25">
      <c r="H260" s="25"/>
    </row>
    <row r="261" ht="14.25">
      <c r="H261" s="25"/>
    </row>
    <row r="262" ht="14.25">
      <c r="H262" s="25"/>
    </row>
    <row r="263" ht="14.25">
      <c r="H263" s="25"/>
    </row>
    <row r="264" ht="14.25">
      <c r="H264" s="25"/>
    </row>
    <row r="265" ht="14.25">
      <c r="H265" s="25"/>
    </row>
    <row r="266" ht="14.25">
      <c r="H266" s="25"/>
    </row>
    <row r="267" ht="14.25">
      <c r="H267" s="25"/>
    </row>
    <row r="268" ht="14.25">
      <c r="H268" s="25"/>
    </row>
    <row r="269" ht="14.25">
      <c r="H269" s="25"/>
    </row>
    <row r="270" ht="14.25">
      <c r="H270" s="25"/>
    </row>
    <row r="271" ht="14.25">
      <c r="H271" s="25"/>
    </row>
    <row r="272" ht="14.25">
      <c r="H272" s="25"/>
    </row>
    <row r="273" ht="14.25">
      <c r="H273" s="25"/>
    </row>
    <row r="274" ht="14.25">
      <c r="H274" s="25"/>
    </row>
    <row r="275" ht="14.25">
      <c r="H275" s="25"/>
    </row>
    <row r="276" ht="14.25">
      <c r="H276" s="25"/>
    </row>
    <row r="277" ht="14.25">
      <c r="H277" s="25"/>
    </row>
    <row r="278" ht="14.25">
      <c r="H278" s="25"/>
    </row>
    <row r="279" ht="14.25">
      <c r="H279" s="25"/>
    </row>
    <row r="280" ht="14.25">
      <c r="H280" s="25"/>
    </row>
    <row r="281" ht="14.25">
      <c r="H281" s="25"/>
    </row>
    <row r="282" ht="14.25">
      <c r="H282" s="25"/>
    </row>
    <row r="283" ht="14.25">
      <c r="H283" s="25"/>
    </row>
    <row r="284" ht="14.25">
      <c r="H284" s="25"/>
    </row>
    <row r="285" ht="14.25">
      <c r="H285" s="25"/>
    </row>
    <row r="286" ht="14.25">
      <c r="H286" s="25"/>
    </row>
    <row r="287" ht="14.25">
      <c r="H287" s="25"/>
    </row>
    <row r="288" ht="14.25">
      <c r="H288" s="25"/>
    </row>
    <row r="289" ht="14.25">
      <c r="H289" s="25"/>
    </row>
    <row r="290" ht="14.25">
      <c r="H290" s="25"/>
    </row>
    <row r="291" ht="14.25">
      <c r="H291" s="25"/>
    </row>
    <row r="292" ht="14.25">
      <c r="H292" s="25"/>
    </row>
    <row r="293" ht="14.25">
      <c r="H293" s="25"/>
    </row>
    <row r="294" ht="14.25">
      <c r="H294" s="25"/>
    </row>
    <row r="295" ht="14.25">
      <c r="H295" s="25"/>
    </row>
    <row r="296" ht="14.25">
      <c r="H296" s="25"/>
    </row>
    <row r="297" ht="14.25">
      <c r="H297" s="25"/>
    </row>
    <row r="298" ht="14.25">
      <c r="H298" s="25"/>
    </row>
    <row r="299" ht="14.25">
      <c r="H299" s="25"/>
    </row>
    <row r="300" ht="14.25">
      <c r="H300" s="25"/>
    </row>
    <row r="301" ht="14.25">
      <c r="H301" s="25"/>
    </row>
    <row r="302" ht="14.25">
      <c r="H302" s="25"/>
    </row>
    <row r="303" ht="14.25">
      <c r="H303" s="25"/>
    </row>
    <row r="304" ht="14.25">
      <c r="H304" s="25"/>
    </row>
    <row r="305" ht="14.25">
      <c r="H305" s="25"/>
    </row>
    <row r="306" ht="14.25">
      <c r="H306" s="25"/>
    </row>
    <row r="307" ht="14.25">
      <c r="H307" s="25"/>
    </row>
    <row r="308" ht="14.25">
      <c r="H308" s="25"/>
    </row>
    <row r="309" ht="14.25">
      <c r="H309" s="25"/>
    </row>
    <row r="310" ht="14.25">
      <c r="H310" s="25"/>
    </row>
    <row r="311" ht="14.25">
      <c r="H311" s="25"/>
    </row>
    <row r="312" ht="14.25">
      <c r="H312" s="25"/>
    </row>
    <row r="313" ht="14.25">
      <c r="H313" s="25"/>
    </row>
    <row r="314" ht="14.25">
      <c r="H314" s="25"/>
    </row>
    <row r="315" ht="14.25">
      <c r="H315" s="25"/>
    </row>
    <row r="316" ht="14.25">
      <c r="H316" s="25"/>
    </row>
    <row r="317" ht="14.25">
      <c r="H317" s="25"/>
    </row>
    <row r="318" ht="14.25">
      <c r="H318" s="25"/>
    </row>
    <row r="319" ht="14.25">
      <c r="H319" s="25"/>
    </row>
    <row r="320" ht="14.25">
      <c r="H320" s="25"/>
    </row>
    <row r="321" ht="14.25">
      <c r="H321" s="25"/>
    </row>
    <row r="322" ht="14.25">
      <c r="H322" s="25"/>
    </row>
    <row r="323" ht="14.25">
      <c r="H323" s="25"/>
    </row>
    <row r="324" ht="14.25">
      <c r="H324" s="25"/>
    </row>
    <row r="325" ht="14.25">
      <c r="H325" s="25"/>
    </row>
    <row r="326" ht="14.25">
      <c r="H326" s="25"/>
    </row>
    <row r="327" ht="14.25">
      <c r="H327" s="25"/>
    </row>
    <row r="328" ht="14.25">
      <c r="H328" s="25"/>
    </row>
    <row r="329" ht="14.25">
      <c r="H329" s="25"/>
    </row>
    <row r="330" ht="14.25">
      <c r="H330" s="25"/>
    </row>
    <row r="331" ht="14.25">
      <c r="H331" s="25"/>
    </row>
    <row r="332" ht="14.25">
      <c r="H332" s="25"/>
    </row>
    <row r="333" ht="14.25">
      <c r="H333" s="25"/>
    </row>
    <row r="334" ht="14.25">
      <c r="H334" s="25"/>
    </row>
    <row r="335" ht="14.25">
      <c r="H335" s="25"/>
    </row>
    <row r="336" ht="14.25">
      <c r="H336" s="25"/>
    </row>
    <row r="337" ht="14.25">
      <c r="H337" s="25"/>
    </row>
    <row r="338" ht="14.25">
      <c r="H338" s="25"/>
    </row>
    <row r="339" ht="14.25">
      <c r="H339" s="25"/>
    </row>
    <row r="340" ht="14.25">
      <c r="H340" s="25"/>
    </row>
    <row r="341" ht="14.25">
      <c r="H341" s="25"/>
    </row>
    <row r="342" ht="14.25">
      <c r="H342" s="25"/>
    </row>
    <row r="343" ht="14.25">
      <c r="H343" s="25"/>
    </row>
    <row r="344" ht="14.25">
      <c r="H344" s="25"/>
    </row>
    <row r="345" ht="14.25">
      <c r="H345" s="25"/>
    </row>
    <row r="346" ht="14.25">
      <c r="H346" s="25"/>
    </row>
    <row r="347" ht="14.25">
      <c r="H347" s="25"/>
    </row>
    <row r="348" ht="14.25">
      <c r="H348" s="25"/>
    </row>
    <row r="349" ht="14.25">
      <c r="H349" s="25"/>
    </row>
    <row r="350" ht="14.25">
      <c r="H350" s="25"/>
    </row>
    <row r="351" ht="14.25">
      <c r="H351" s="25"/>
    </row>
    <row r="352" ht="14.25">
      <c r="H352" s="25"/>
    </row>
    <row r="353" ht="14.25">
      <c r="H353" s="25"/>
    </row>
    <row r="354" ht="14.25">
      <c r="H354" s="25"/>
    </row>
    <row r="355" ht="14.25">
      <c r="H355" s="25"/>
    </row>
    <row r="356" ht="14.25">
      <c r="H356" s="25"/>
    </row>
    <row r="357" ht="14.25">
      <c r="H357" s="25"/>
    </row>
    <row r="358" ht="14.25">
      <c r="H358" s="25"/>
    </row>
    <row r="359" ht="14.25">
      <c r="H359" s="25"/>
    </row>
    <row r="360" ht="14.25">
      <c r="H360" s="25"/>
    </row>
    <row r="361" ht="14.25">
      <c r="H361" s="25"/>
    </row>
    <row r="362" ht="14.25">
      <c r="H362" s="25"/>
    </row>
    <row r="363" ht="14.25">
      <c r="H363" s="25"/>
    </row>
    <row r="364" ht="14.25">
      <c r="H364" s="25"/>
    </row>
    <row r="365" ht="14.25">
      <c r="H365" s="25"/>
    </row>
    <row r="366" ht="14.25">
      <c r="H366" s="25"/>
    </row>
    <row r="367" ht="14.25">
      <c r="H367" s="25"/>
    </row>
    <row r="368" ht="14.25">
      <c r="H368" s="25"/>
    </row>
    <row r="369" ht="14.25">
      <c r="H369" s="25"/>
    </row>
    <row r="370" ht="14.25">
      <c r="H370" s="25"/>
    </row>
    <row r="371" ht="14.25">
      <c r="H371" s="25"/>
    </row>
    <row r="372" ht="14.25">
      <c r="H372" s="25"/>
    </row>
    <row r="373" ht="14.25">
      <c r="H373" s="25"/>
    </row>
    <row r="374" ht="14.25">
      <c r="H374" s="25"/>
    </row>
    <row r="375" ht="14.25">
      <c r="H375" s="25"/>
    </row>
    <row r="376" ht="14.25">
      <c r="H376" s="25"/>
    </row>
    <row r="377" ht="14.25">
      <c r="H377" s="25"/>
    </row>
    <row r="378" ht="14.25">
      <c r="H378" s="25"/>
    </row>
    <row r="379" ht="14.25">
      <c r="H379" s="25"/>
    </row>
    <row r="380" ht="14.25">
      <c r="H380" s="25"/>
    </row>
    <row r="381" ht="14.25">
      <c r="H381" s="25"/>
    </row>
    <row r="382" ht="14.25">
      <c r="H382" s="25"/>
    </row>
    <row r="383" ht="14.25">
      <c r="H383" s="25"/>
    </row>
    <row r="384" ht="14.25">
      <c r="H384" s="25"/>
    </row>
    <row r="385" ht="14.25">
      <c r="H385" s="25"/>
    </row>
    <row r="386" ht="14.25">
      <c r="H386" s="25"/>
    </row>
    <row r="387" ht="14.25">
      <c r="H387" s="25"/>
    </row>
    <row r="388" ht="14.25">
      <c r="H388" s="25"/>
    </row>
    <row r="389" ht="14.25">
      <c r="H389" s="25"/>
    </row>
    <row r="390" ht="14.25">
      <c r="H390" s="25"/>
    </row>
    <row r="391" ht="14.25">
      <c r="H391" s="25"/>
    </row>
    <row r="392" ht="14.25">
      <c r="H392" s="25"/>
    </row>
    <row r="393" ht="14.25">
      <c r="H393" s="25"/>
    </row>
    <row r="394" ht="14.25">
      <c r="H394" s="25"/>
    </row>
    <row r="395" ht="14.25">
      <c r="H395" s="25"/>
    </row>
    <row r="396" ht="14.25">
      <c r="H396" s="25"/>
    </row>
    <row r="397" ht="14.25">
      <c r="H397" s="25"/>
    </row>
    <row r="398" ht="14.25">
      <c r="H398" s="25"/>
    </row>
    <row r="399" ht="14.25">
      <c r="H399" s="25"/>
    </row>
    <row r="400" ht="14.25">
      <c r="H400" s="25"/>
    </row>
    <row r="401" ht="14.25">
      <c r="H401" s="25"/>
    </row>
    <row r="402" ht="14.25">
      <c r="H402" s="25"/>
    </row>
    <row r="403" ht="14.25">
      <c r="H403" s="25"/>
    </row>
    <row r="404" ht="14.25">
      <c r="H404" s="25"/>
    </row>
    <row r="405" ht="14.25">
      <c r="H405" s="25"/>
    </row>
    <row r="406" ht="14.25">
      <c r="H406" s="25"/>
    </row>
    <row r="407" ht="14.25">
      <c r="H407" s="25"/>
    </row>
    <row r="408" ht="14.25">
      <c r="H408" s="25"/>
    </row>
    <row r="409" ht="14.25">
      <c r="H409" s="25"/>
    </row>
    <row r="410" ht="14.25">
      <c r="H410" s="25"/>
    </row>
    <row r="411" ht="14.25">
      <c r="H411" s="25"/>
    </row>
    <row r="412" ht="14.25">
      <c r="H412" s="25"/>
    </row>
    <row r="413" ht="14.25">
      <c r="H413" s="25"/>
    </row>
    <row r="414" ht="14.25">
      <c r="H414" s="25"/>
    </row>
    <row r="415" ht="14.25">
      <c r="H415" s="25"/>
    </row>
    <row r="416" ht="14.25">
      <c r="H416" s="25"/>
    </row>
    <row r="417" ht="14.25">
      <c r="H417" s="25"/>
    </row>
    <row r="418" ht="14.25">
      <c r="H418" s="25"/>
    </row>
    <row r="419" ht="14.25">
      <c r="H419" s="25"/>
    </row>
    <row r="420" ht="14.25">
      <c r="H420" s="25"/>
    </row>
    <row r="421" ht="14.25">
      <c r="H421" s="25"/>
    </row>
    <row r="422" ht="14.25">
      <c r="H422" s="25"/>
    </row>
    <row r="423" ht="14.25">
      <c r="H423" s="25"/>
    </row>
    <row r="424" ht="14.25">
      <c r="H424" s="25"/>
    </row>
    <row r="425" ht="14.25">
      <c r="H425" s="25"/>
    </row>
    <row r="426" ht="14.25">
      <c r="H426" s="25"/>
    </row>
    <row r="427" ht="14.25">
      <c r="H427" s="25"/>
    </row>
    <row r="428" ht="14.25">
      <c r="H428" s="25"/>
    </row>
    <row r="429" ht="14.25">
      <c r="H429" s="25"/>
    </row>
    <row r="430" ht="14.25">
      <c r="H430" s="25"/>
    </row>
    <row r="431" ht="14.25">
      <c r="H431" s="25"/>
    </row>
    <row r="432" ht="14.25">
      <c r="H432" s="25"/>
    </row>
    <row r="433" ht="14.25">
      <c r="H433" s="25"/>
    </row>
    <row r="434" ht="14.25">
      <c r="H434" s="25"/>
    </row>
    <row r="435" ht="14.25">
      <c r="H435" s="25"/>
    </row>
    <row r="436" ht="14.25">
      <c r="H436" s="25"/>
    </row>
    <row r="437" ht="14.25">
      <c r="H437" s="25"/>
    </row>
    <row r="438" ht="14.25">
      <c r="H438" s="25"/>
    </row>
    <row r="439" ht="14.25">
      <c r="H439" s="25"/>
    </row>
    <row r="440" ht="14.25">
      <c r="H440" s="25"/>
    </row>
    <row r="441" ht="14.25">
      <c r="H441" s="25"/>
    </row>
    <row r="442" ht="14.25">
      <c r="H442" s="25"/>
    </row>
    <row r="443" ht="14.25">
      <c r="H443" s="25"/>
    </row>
    <row r="444" ht="14.25">
      <c r="H444" s="25"/>
    </row>
    <row r="445" ht="14.25">
      <c r="H445" s="25"/>
    </row>
    <row r="446" ht="14.25">
      <c r="H446" s="25"/>
    </row>
    <row r="447" ht="14.25">
      <c r="H447" s="25"/>
    </row>
    <row r="448" ht="14.25">
      <c r="H448" s="25"/>
    </row>
    <row r="449" ht="14.25">
      <c r="H449" s="25"/>
    </row>
    <row r="450" ht="14.25">
      <c r="H450" s="25"/>
    </row>
    <row r="451" ht="14.25">
      <c r="H451" s="25"/>
    </row>
    <row r="452" ht="14.25">
      <c r="H452" s="25"/>
    </row>
    <row r="453" ht="14.25">
      <c r="H453" s="25"/>
    </row>
    <row r="454" ht="14.25">
      <c r="H454" s="25"/>
    </row>
    <row r="455" ht="14.25">
      <c r="H455" s="25"/>
    </row>
    <row r="456" ht="14.25">
      <c r="H456" s="25"/>
    </row>
    <row r="457" ht="14.25">
      <c r="H457" s="25"/>
    </row>
    <row r="458" ht="14.25">
      <c r="H458" s="25"/>
    </row>
    <row r="459" ht="14.25">
      <c r="H459" s="25"/>
    </row>
    <row r="460" ht="14.25">
      <c r="H460" s="25"/>
    </row>
    <row r="461" ht="14.25">
      <c r="H461" s="25"/>
    </row>
    <row r="462" ht="14.25">
      <c r="H462" s="25"/>
    </row>
    <row r="463" ht="14.25">
      <c r="H463" s="25"/>
    </row>
    <row r="464" ht="14.25">
      <c r="H464" s="25"/>
    </row>
    <row r="465" ht="14.25">
      <c r="H465" s="25"/>
    </row>
    <row r="466" ht="14.25">
      <c r="H466" s="25"/>
    </row>
    <row r="467" ht="14.25">
      <c r="H467" s="25"/>
    </row>
    <row r="468" ht="14.25">
      <c r="H468" s="25"/>
    </row>
    <row r="469" ht="14.25">
      <c r="H469" s="25"/>
    </row>
    <row r="470" ht="14.25">
      <c r="H470" s="25"/>
    </row>
    <row r="471" ht="14.25">
      <c r="H471" s="25"/>
    </row>
    <row r="472" ht="14.25">
      <c r="H472" s="25"/>
    </row>
    <row r="473" ht="14.25">
      <c r="H473" s="25"/>
    </row>
    <row r="474" ht="14.25">
      <c r="H474" s="25"/>
    </row>
    <row r="475" ht="14.25">
      <c r="H475" s="25"/>
    </row>
    <row r="476" ht="14.25">
      <c r="H476" s="25"/>
    </row>
    <row r="477" ht="14.25">
      <c r="H477" s="25"/>
    </row>
    <row r="478" ht="14.25">
      <c r="H478" s="25"/>
    </row>
    <row r="479" ht="14.25">
      <c r="H479" s="25"/>
    </row>
    <row r="480" ht="14.25">
      <c r="H480" s="25"/>
    </row>
    <row r="481" ht="14.25">
      <c r="H481" s="25"/>
    </row>
    <row r="482" ht="14.25">
      <c r="H482" s="25"/>
    </row>
    <row r="483" ht="14.25">
      <c r="H483" s="25"/>
    </row>
    <row r="484" ht="14.25">
      <c r="H484" s="25"/>
    </row>
    <row r="485" ht="14.25">
      <c r="H485" s="25"/>
    </row>
    <row r="486" ht="14.25">
      <c r="H486" s="25"/>
    </row>
    <row r="487" ht="14.25">
      <c r="H487" s="25"/>
    </row>
    <row r="488" ht="14.25">
      <c r="H488" s="25"/>
    </row>
    <row r="489" ht="14.25">
      <c r="H489" s="25"/>
    </row>
    <row r="490" ht="14.25">
      <c r="H490" s="25"/>
    </row>
    <row r="491" ht="14.25">
      <c r="H491" s="25"/>
    </row>
    <row r="492" ht="14.25">
      <c r="H492" s="25"/>
    </row>
    <row r="493" ht="14.25">
      <c r="H493" s="25"/>
    </row>
    <row r="494" ht="14.25">
      <c r="H494" s="25"/>
    </row>
    <row r="495" ht="14.25">
      <c r="H495" s="25"/>
    </row>
    <row r="496" ht="14.25">
      <c r="H496" s="25"/>
    </row>
    <row r="497" ht="14.25">
      <c r="H497" s="25"/>
    </row>
    <row r="498" ht="14.25">
      <c r="H498" s="25"/>
    </row>
    <row r="499" ht="14.25">
      <c r="H499" s="25"/>
    </row>
    <row r="500" ht="14.25">
      <c r="H500" s="25"/>
    </row>
    <row r="501" ht="14.25">
      <c r="H501" s="25"/>
    </row>
    <row r="502" ht="14.25">
      <c r="H502" s="25"/>
    </row>
    <row r="503" ht="14.25">
      <c r="H503" s="25"/>
    </row>
    <row r="504" ht="14.25">
      <c r="H504" s="25"/>
    </row>
    <row r="505" ht="14.25">
      <c r="H505" s="25"/>
    </row>
    <row r="506" ht="14.25">
      <c r="H506" s="25"/>
    </row>
    <row r="507" ht="14.25">
      <c r="H507" s="25"/>
    </row>
    <row r="508" ht="14.25">
      <c r="H508" s="25"/>
    </row>
    <row r="509" ht="14.25">
      <c r="H509" s="25"/>
    </row>
    <row r="510" ht="14.25">
      <c r="H510" s="25"/>
    </row>
    <row r="511" ht="14.25">
      <c r="H511" s="25"/>
    </row>
    <row r="512" ht="14.25">
      <c r="H512" s="25"/>
    </row>
    <row r="513" ht="14.25">
      <c r="H513" s="25"/>
    </row>
    <row r="514" ht="14.25">
      <c r="H514" s="25"/>
    </row>
    <row r="515" ht="14.25">
      <c r="H515" s="25"/>
    </row>
    <row r="516" ht="14.25">
      <c r="H516" s="25"/>
    </row>
    <row r="517" ht="14.25">
      <c r="H517" s="25"/>
    </row>
    <row r="518" ht="14.25">
      <c r="H518" s="25"/>
    </row>
    <row r="519" ht="14.25">
      <c r="H519" s="25"/>
    </row>
    <row r="520" ht="14.25">
      <c r="H520" s="25"/>
    </row>
    <row r="521" ht="14.25">
      <c r="H521" s="25"/>
    </row>
    <row r="522" ht="14.25">
      <c r="H522" s="25"/>
    </row>
    <row r="523" ht="14.25">
      <c r="H523" s="25"/>
    </row>
    <row r="524" ht="14.25">
      <c r="H524" s="25"/>
    </row>
    <row r="525" ht="14.25">
      <c r="H525" s="25"/>
    </row>
    <row r="526" ht="14.25">
      <c r="H526" s="25"/>
    </row>
    <row r="527" ht="14.25">
      <c r="H527" s="25"/>
    </row>
    <row r="528" ht="14.25">
      <c r="H528" s="25"/>
    </row>
    <row r="529" ht="14.25">
      <c r="H529" s="25"/>
    </row>
    <row r="530" ht="14.25">
      <c r="H530" s="25"/>
    </row>
    <row r="531" ht="14.25">
      <c r="H531" s="25"/>
    </row>
    <row r="532" ht="14.25">
      <c r="H532" s="25"/>
    </row>
    <row r="533" ht="14.25">
      <c r="H533" s="25"/>
    </row>
    <row r="534" ht="14.25">
      <c r="H534" s="25"/>
    </row>
    <row r="535" ht="14.25">
      <c r="H535" s="25"/>
    </row>
    <row r="536" ht="14.25">
      <c r="H536" s="25"/>
    </row>
    <row r="537" ht="14.25">
      <c r="H537" s="25"/>
    </row>
    <row r="538" ht="14.25">
      <c r="H538" s="25"/>
    </row>
    <row r="539" ht="14.25">
      <c r="H539" s="25"/>
    </row>
    <row r="540" ht="14.25">
      <c r="H540" s="25"/>
    </row>
    <row r="541" ht="14.25">
      <c r="H541" s="25"/>
    </row>
    <row r="542" ht="14.25">
      <c r="H542" s="25"/>
    </row>
    <row r="543" ht="14.25">
      <c r="H543" s="25"/>
    </row>
    <row r="544" ht="14.25">
      <c r="H544" s="25"/>
    </row>
    <row r="545" ht="14.25">
      <c r="H545" s="25"/>
    </row>
    <row r="546" ht="14.25">
      <c r="H546" s="25"/>
    </row>
    <row r="547" ht="14.25">
      <c r="H547" s="25"/>
    </row>
    <row r="548" ht="14.25">
      <c r="H548" s="25"/>
    </row>
    <row r="549" ht="14.25">
      <c r="H549" s="25"/>
    </row>
    <row r="550" ht="14.25">
      <c r="H550" s="25"/>
    </row>
    <row r="551" ht="14.25">
      <c r="H551" s="25"/>
    </row>
    <row r="552" ht="14.25">
      <c r="H552" s="25"/>
    </row>
    <row r="553" ht="14.25">
      <c r="H553" s="25"/>
    </row>
    <row r="554" ht="14.25">
      <c r="H554" s="25"/>
    </row>
    <row r="555" ht="14.25">
      <c r="H555" s="25"/>
    </row>
    <row r="556" ht="14.25">
      <c r="H556" s="25"/>
    </row>
    <row r="557" ht="14.25">
      <c r="H557" s="25"/>
    </row>
    <row r="558" ht="14.25">
      <c r="H558" s="25"/>
    </row>
    <row r="559" ht="14.25">
      <c r="H559" s="25"/>
    </row>
    <row r="560" ht="14.25">
      <c r="H560" s="25"/>
    </row>
    <row r="561" ht="14.25">
      <c r="H561" s="25"/>
    </row>
    <row r="562" ht="14.25">
      <c r="H562" s="25"/>
    </row>
    <row r="563" ht="14.25">
      <c r="H563" s="25"/>
    </row>
    <row r="564" ht="14.25">
      <c r="H564" s="25"/>
    </row>
    <row r="565" ht="14.25">
      <c r="H565" s="25"/>
    </row>
    <row r="566" ht="14.25">
      <c r="H566" s="25"/>
    </row>
    <row r="567" ht="14.25">
      <c r="H567" s="25"/>
    </row>
    <row r="568" ht="14.25">
      <c r="H568" s="25"/>
    </row>
    <row r="569" ht="14.25">
      <c r="H569" s="25"/>
    </row>
    <row r="570" ht="14.25">
      <c r="H570" s="25"/>
    </row>
    <row r="571" ht="14.25">
      <c r="H571" s="25"/>
    </row>
    <row r="572" ht="14.25">
      <c r="H572" s="25"/>
    </row>
    <row r="573" ht="14.25">
      <c r="H573" s="25"/>
    </row>
    <row r="574" ht="14.25">
      <c r="H574" s="25"/>
    </row>
    <row r="575" ht="14.25">
      <c r="H575" s="25"/>
    </row>
    <row r="576" ht="14.25">
      <c r="H576" s="25"/>
    </row>
    <row r="577" ht="14.25">
      <c r="H577" s="25"/>
    </row>
    <row r="578" ht="14.25">
      <c r="H578" s="25"/>
    </row>
    <row r="579" ht="14.25">
      <c r="H579" s="25"/>
    </row>
    <row r="580" ht="14.25">
      <c r="H580" s="25"/>
    </row>
    <row r="581" ht="14.25">
      <c r="H581" s="25"/>
    </row>
    <row r="582" ht="14.25">
      <c r="H582" s="25"/>
    </row>
    <row r="583" ht="14.25">
      <c r="H583" s="25"/>
    </row>
    <row r="584" ht="14.25">
      <c r="H584" s="25"/>
    </row>
    <row r="585" ht="14.25">
      <c r="H585" s="25"/>
    </row>
    <row r="586" ht="14.25">
      <c r="H586" s="25"/>
    </row>
    <row r="587" ht="14.25">
      <c r="H587" s="25"/>
    </row>
    <row r="588" ht="14.25">
      <c r="H588" s="25"/>
    </row>
    <row r="589" ht="14.25">
      <c r="H589" s="25"/>
    </row>
    <row r="590" ht="14.25">
      <c r="H590" s="25"/>
    </row>
    <row r="591" ht="14.25">
      <c r="H591" s="25"/>
    </row>
    <row r="592" ht="14.25">
      <c r="H592" s="25"/>
    </row>
    <row r="593" ht="14.25">
      <c r="H593" s="25"/>
    </row>
    <row r="594" ht="14.25">
      <c r="H594" s="25"/>
    </row>
    <row r="595" ht="14.25">
      <c r="H595" s="25"/>
    </row>
    <row r="596" ht="14.25">
      <c r="H596" s="25"/>
    </row>
    <row r="597" ht="14.25">
      <c r="H597" s="25"/>
    </row>
    <row r="598" ht="14.25">
      <c r="H598" s="25"/>
    </row>
    <row r="599" ht="14.25">
      <c r="H599" s="25"/>
    </row>
    <row r="600" ht="14.25">
      <c r="H600" s="25"/>
    </row>
    <row r="601" ht="14.25">
      <c r="H601" s="25"/>
    </row>
    <row r="602" ht="14.25">
      <c r="H602" s="25"/>
    </row>
    <row r="603" ht="14.25">
      <c r="H603" s="25"/>
    </row>
    <row r="604" ht="14.25">
      <c r="H604" s="25"/>
    </row>
    <row r="605" ht="14.25">
      <c r="H605" s="25"/>
    </row>
    <row r="606" ht="14.25">
      <c r="H606" s="25"/>
    </row>
    <row r="607" ht="14.25">
      <c r="H607" s="25"/>
    </row>
    <row r="608" ht="14.25">
      <c r="H608" s="25"/>
    </row>
    <row r="609" ht="14.25">
      <c r="H609" s="25"/>
    </row>
    <row r="610" ht="14.25">
      <c r="H610" s="25"/>
    </row>
    <row r="611" ht="14.25">
      <c r="H611" s="25"/>
    </row>
    <row r="612" ht="14.25">
      <c r="H612" s="25"/>
    </row>
    <row r="613" ht="14.25">
      <c r="H613" s="25"/>
    </row>
    <row r="614" ht="14.25">
      <c r="H614" s="25"/>
    </row>
    <row r="615" ht="14.25">
      <c r="H615" s="25"/>
    </row>
    <row r="616" ht="14.25">
      <c r="H616" s="25"/>
    </row>
    <row r="617" ht="14.25">
      <c r="H617" s="25"/>
    </row>
    <row r="618" ht="14.25">
      <c r="H618" s="25"/>
    </row>
    <row r="619" ht="14.25">
      <c r="H619" s="25"/>
    </row>
    <row r="620" ht="14.25">
      <c r="H620" s="25"/>
    </row>
    <row r="621" ht="14.25">
      <c r="H621" s="25"/>
    </row>
    <row r="622" ht="14.25">
      <c r="H622" s="25"/>
    </row>
    <row r="623" ht="14.25">
      <c r="H623" s="25"/>
    </row>
    <row r="624" ht="14.25">
      <c r="H624" s="25"/>
    </row>
    <row r="625" ht="14.25">
      <c r="H625" s="25"/>
    </row>
    <row r="626" ht="14.25">
      <c r="H626" s="25"/>
    </row>
    <row r="627" ht="14.25">
      <c r="H627" s="25"/>
    </row>
    <row r="628" ht="14.25">
      <c r="H628" s="25"/>
    </row>
    <row r="629" ht="14.25">
      <c r="H629" s="25"/>
    </row>
    <row r="630" ht="14.25">
      <c r="H630" s="25"/>
    </row>
    <row r="631" ht="14.25">
      <c r="H631" s="25"/>
    </row>
    <row r="632" ht="14.25">
      <c r="H632" s="25"/>
    </row>
    <row r="633" ht="14.25">
      <c r="H633" s="25"/>
    </row>
    <row r="634" ht="14.25">
      <c r="H634" s="25"/>
    </row>
    <row r="635" ht="14.25">
      <c r="H635" s="25"/>
    </row>
    <row r="636" ht="14.25">
      <c r="H636" s="25"/>
    </row>
    <row r="637" ht="14.25">
      <c r="H637" s="25"/>
    </row>
    <row r="638" ht="14.25">
      <c r="H638" s="25"/>
    </row>
    <row r="639" ht="14.25">
      <c r="H639" s="25"/>
    </row>
    <row r="640" ht="14.25">
      <c r="H640" s="25"/>
    </row>
    <row r="641" ht="14.25">
      <c r="H641" s="25"/>
    </row>
    <row r="642" ht="14.25">
      <c r="H642" s="25"/>
    </row>
    <row r="643" ht="14.25">
      <c r="H643" s="25"/>
    </row>
    <row r="644" ht="14.25">
      <c r="H644" s="25"/>
    </row>
    <row r="645" ht="14.25">
      <c r="H645" s="25"/>
    </row>
    <row r="646" ht="14.25">
      <c r="H646" s="25"/>
    </row>
    <row r="647" ht="14.25">
      <c r="H647" s="25"/>
    </row>
    <row r="648" ht="14.25">
      <c r="H648" s="25"/>
    </row>
    <row r="649" ht="14.25">
      <c r="H649" s="25"/>
    </row>
    <row r="650" ht="14.25">
      <c r="H650" s="25"/>
    </row>
    <row r="651" ht="14.25">
      <c r="H651" s="25"/>
    </row>
    <row r="652" ht="14.25">
      <c r="H652" s="25"/>
    </row>
    <row r="653" ht="14.25">
      <c r="H653" s="25"/>
    </row>
    <row r="654" ht="14.25">
      <c r="H654" s="25"/>
    </row>
    <row r="655" ht="14.25">
      <c r="H655" s="25"/>
    </row>
    <row r="656" ht="14.25">
      <c r="H656" s="25"/>
    </row>
    <row r="657" ht="14.25">
      <c r="H657" s="25"/>
    </row>
    <row r="658" ht="14.25">
      <c r="H658" s="25"/>
    </row>
  </sheetData>
  <printOptions/>
  <pageMargins left="0.45" right="0.75" top="0.42" bottom="0.17" header="0.5" footer="0.26"/>
  <pageSetup horizontalDpi="600" verticalDpi="600" orientation="portrait" scale="64" r:id="rId1"/>
  <headerFooter alignWithMargins="0">
    <oddFooter>&amp;C&amp;"Tahoma,Regular"&amp;11- 4 -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2007-11-29T04:05:25Z</cp:lastPrinted>
  <dcterms:created xsi:type="dcterms:W3CDTF">2006-05-10T07:36:02Z</dcterms:created>
  <dcterms:modified xsi:type="dcterms:W3CDTF">2007-11-29T04:05:30Z</dcterms:modified>
  <cp:category/>
  <cp:version/>
  <cp:contentType/>
  <cp:contentStatus/>
</cp:coreProperties>
</file>